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DE11" lockStructure="1"/>
  <bookViews>
    <workbookView windowWidth="21480" windowHeight="17790" tabRatio="790" firstSheet="2" activeTab="5"/>
  </bookViews>
  <sheets>
    <sheet name="Revision History" sheetId="15" r:id="rId1"/>
    <sheet name="MARS-1230-9GX-P" sheetId="25" r:id="rId2"/>
    <sheet name="MARS-880-13GX-P" sheetId="26" r:id="rId3"/>
    <sheet name="MARS-3140-3GX-P" sheetId="28" r:id="rId4"/>
    <sheet name="MARS-2622-4GX-P-NIR-ETR" sheetId="30" r:id="rId5"/>
    <sheet name="MARS_138_95GM_P_TN_SWIR" sheetId="31" r:id="rId6"/>
    <sheet name="MARS-033-262GM-P-TN-SWIR" sheetId="32" r:id="rId7"/>
  </sheets>
  <definedNames>
    <definedName name="_xlnm._FilterDatabase" localSheetId="4" hidden="1">'MARS-2622-4GX-P-NIR-ETR'!$C$38:$G$71</definedName>
    <definedName name="Z_9F73C155_CDDB_4969_BDA6_6B1932D3C988_.wvu.Rows" localSheetId="3" hidden="1">'MARS-3140-3GX-P'!$25:$42</definedName>
  </definedNames>
  <calcPr calcId="144525"/>
  <customWorkbookViews>
    <customWorkbookView name="administrator - 个人视图" guid="{9F73C155-CDDB-4969-BDA6-6B1932D3C988}" personalView="1" maximized="1" windowWidth="1440" windowHeight="631" activeSheetId="0"/>
  </customWorkbookViews>
</workbook>
</file>

<file path=xl/comments1.xml><?xml version="1.0" encoding="utf-8"?>
<comments xmlns="http://schemas.openxmlformats.org/spreadsheetml/2006/main">
  <authors>
    <author>作者</author>
  </authors>
  <commentList>
    <comment ref="AP29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需要根据最终需求确认默认情况然后修改默认帧率</t>
        </r>
      </text>
    </comment>
    <comment ref="I3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像素格式小于等于像素位深</t>
        </r>
      </text>
    </comment>
    <comment ref="O34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极小曝光模式下不能进行交叠曝光，因此需要多加2倍行周期的余量保证，其中一行是因为触发信号会随机落在两个xhs信号之间，要把这一行留出，再多加一行的余量保证极小曝光模式下不会产生交叠曝光的情况。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P29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需要根据最终需求确认默认情况然后修改默认帧率</t>
        </r>
      </text>
    </comment>
    <comment ref="I3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像素格式小于等于像素位深</t>
        </r>
      </text>
    </comment>
    <comment ref="O34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极小曝光模式下不能进行交叠曝光，因此需要多加2倍行周期的余量保证，其中一行是因为触发信号会随机落在两个xhs信号之间，要把这一行留出，再多加一行的余量保证极小曝光模式下不会产生交叠曝光的情况。</t>
        </r>
      </text>
    </comment>
  </commentList>
</comments>
</file>

<file path=xl/sharedStrings.xml><?xml version="1.0" encoding="utf-8"?>
<sst xmlns="http://schemas.openxmlformats.org/spreadsheetml/2006/main" count="2294" uniqueCount="693">
  <si>
    <t>Version</t>
  </si>
  <si>
    <t>Revision</t>
  </si>
  <si>
    <t>Date</t>
  </si>
  <si>
    <t>1.0.0</t>
  </si>
  <si>
    <t>MARS-1230-9GX-P initial version</t>
  </si>
  <si>
    <t>1.0.1</t>
  </si>
  <si>
    <t>MARS-1230-9GX-P modify function</t>
  </si>
  <si>
    <t>1.0.2</t>
  </si>
  <si>
    <t>change GevFramerateABS GevFramerateAbsEn</t>
  </si>
  <si>
    <t>1.0.3</t>
  </si>
  <si>
    <t>modify format</t>
  </si>
  <si>
    <t>1.0.4</t>
  </si>
  <si>
    <t>modify GevSCPDMaxValue and BandwidthReserveMaxValue</t>
  </si>
  <si>
    <t>1.0.5</t>
  </si>
  <si>
    <t>add MARS-880-13GX-P</t>
  </si>
  <si>
    <t>1.0.6</t>
  </si>
  <si>
    <t>add MARS-3140-3GX-P</t>
  </si>
  <si>
    <t>1.0.7</t>
  </si>
  <si>
    <t>modify MARS-3140-3GX-P eth_valid_bandwidth</t>
  </si>
  <si>
    <t>1.0.8</t>
  </si>
  <si>
    <t>modify MARS-3140-3GX-P EstimatedBandwidth</t>
  </si>
  <si>
    <t>1.0.9</t>
  </si>
  <si>
    <t>Added MARS-2622-4GX-NIR frame rate calculation table</t>
  </si>
  <si>
    <t>1.0.10</t>
  </si>
  <si>
    <t>modify MARS-3140-3GX-P frame rate calculation table</t>
  </si>
  <si>
    <t>1.0.11</t>
  </si>
  <si>
    <t>Added MARS_138_95GM_P_TN_SWIR frame rate calculation table</t>
  </si>
  <si>
    <t>1.0.12</t>
  </si>
  <si>
    <t>AddedMARS-033-262GM-P-TN-SWIR frame rate calculation table</t>
  </si>
  <si>
    <t>Width</t>
  </si>
  <si>
    <t>Height</t>
  </si>
  <si>
    <t>ExposureTime(us)</t>
  </si>
  <si>
    <t>PixelFormat(8/12)</t>
  </si>
  <si>
    <t>GevSCPSPacketSize</t>
  </si>
  <si>
    <t>GevSCPD</t>
  </si>
  <si>
    <t>GevSCPDMaxValue</t>
  </si>
  <si>
    <t>GevFramerateABS</t>
  </si>
  <si>
    <t>GevFramerateAbsEn</t>
  </si>
  <si>
    <t>LinkSpeed(Mbps)</t>
  </si>
  <si>
    <t>BandwidthReserve</t>
  </si>
  <si>
    <t>BandwidthReserveMaxValue</t>
  </si>
  <si>
    <t>FPS</t>
  </si>
  <si>
    <t>camera_model</t>
  </si>
  <si>
    <t>相机型号</t>
  </si>
  <si>
    <t>mars-1230-9gx</t>
  </si>
  <si>
    <t>计算结果</t>
  </si>
  <si>
    <t>计算过程</t>
  </si>
  <si>
    <t>Sensor寄存器</t>
  </si>
  <si>
    <t>Demo关联项</t>
  </si>
  <si>
    <t>参数</t>
  </si>
  <si>
    <t>描述</t>
  </si>
  <si>
    <t>公式</t>
  </si>
  <si>
    <t>计算值</t>
  </si>
  <si>
    <t>单位</t>
  </si>
  <si>
    <t>固定参数</t>
  </si>
  <si>
    <t>寄存器名</t>
  </si>
  <si>
    <t>地址
dec</t>
  </si>
  <si>
    <t>地址
dec(hex)</t>
  </si>
  <si>
    <t>推算值
hex</t>
  </si>
  <si>
    <t>默认值</t>
  </si>
  <si>
    <t>用户值</t>
  </si>
  <si>
    <t>帧率</t>
  </si>
  <si>
    <t>推算值
dec</t>
  </si>
  <si>
    <t>REGHOLD</t>
  </si>
  <si>
    <t>sensor寄存器保持</t>
  </si>
  <si>
    <t>0: Invalid 1: Valid</t>
  </si>
  <si>
    <t>像素格式</t>
  </si>
  <si>
    <t>tRow</t>
  </si>
  <si>
    <t>行周期</t>
  </si>
  <si>
    <t>ROUNDUP(1000000*hmax/Finck),0)</t>
  </si>
  <si>
    <t>ns</t>
  </si>
  <si>
    <t>Sensor输入时钟频率
(手册第一页Features Input frequency)</t>
  </si>
  <si>
    <t>37.125 or 74.25 抖动幅度0.96~1.02</t>
  </si>
  <si>
    <t>KHz</t>
  </si>
  <si>
    <t>ROIPV1_L</t>
  </si>
  <si>
    <t>RO1 1垂直偏移</t>
  </si>
  <si>
    <t>roi_offset_y</t>
  </si>
  <si>
    <t>PixelFormat</t>
  </si>
  <si>
    <t>像素格式(8/12)</t>
  </si>
  <si>
    <t>tFrame</t>
  </si>
  <si>
    <t>帧周期</t>
  </si>
  <si>
    <t>frame_lines*tRow</t>
  </si>
  <si>
    <t>us</t>
  </si>
  <si>
    <t>sensor</t>
  </si>
  <si>
    <t>相机对应sensor的型号</t>
  </si>
  <si>
    <t>-</t>
  </si>
  <si>
    <t>ROIPV1_H</t>
  </si>
  <si>
    <t>曝光时间</t>
  </si>
  <si>
    <t>fFrame</t>
  </si>
  <si>
    <t>1000/tFrame</t>
  </si>
  <si>
    <t>fps</t>
  </si>
  <si>
    <t>port</t>
  </si>
  <si>
    <t>相机对应的后端接口</t>
  </si>
  <si>
    <t>ROIWV1_L</t>
  </si>
  <si>
    <t>RO1 1垂直高度</t>
  </si>
  <si>
    <t>roi_pic_height</t>
  </si>
  <si>
    <t>ExposureTime</t>
  </si>
  <si>
    <t>曝光时间(us)</t>
  </si>
  <si>
    <t>决定帧周期的四个变量</t>
  </si>
  <si>
    <t>margin_x</t>
  </si>
  <si>
    <t>有效像素边界
(手册Pixel Arrangement章节，图示)</t>
  </si>
  <si>
    <t>pixel</t>
  </si>
  <si>
    <t>ROIWV1_H</t>
  </si>
  <si>
    <t>ExposureDelay</t>
  </si>
  <si>
    <t>曝光延迟</t>
  </si>
  <si>
    <t>触发延时</t>
  </si>
  <si>
    <t>readout_period_time</t>
  </si>
  <si>
    <t>读出时间决定的帧周期</t>
  </si>
  <si>
    <t>readout_time+VBmin</t>
  </si>
  <si>
    <t>line</t>
  </si>
  <si>
    <t>margin_y</t>
  </si>
  <si>
    <t>IMX253 IMX304-4
IMX255 IMX267-8</t>
  </si>
  <si>
    <t>FPGA寄存器</t>
  </si>
  <si>
    <t>TriggerDelay</t>
  </si>
  <si>
    <t>触发延迟(us)</t>
  </si>
  <si>
    <t>exp_period_time</t>
  </si>
  <si>
    <t>曝光时间决定的帧周期</t>
  </si>
  <si>
    <t>exp_line_num+ExpIntMin</t>
  </si>
  <si>
    <t>hmax</t>
  </si>
  <si>
    <t>每行宽度(U3平台)
(手册Readout Drive Modes章节，见表格，All pixel模式)</t>
  </si>
  <si>
    <t>GIGE(4ch):  
固定为4通道807
U3(8ch):  
IMX253-417    IMX255-834
IMX255-417    IMX255-834
IMX304-522    IMX304-1044
IMX267-522    IMX267-1044</t>
  </si>
  <si>
    <t>inck</t>
  </si>
  <si>
    <t>slave_hmax</t>
  </si>
  <si>
    <t>FPGA行周期</t>
  </si>
  <si>
    <t>dec2hex(hmax)</t>
  </si>
  <si>
    <t>hmax(4ch)</t>
  </si>
  <si>
    <t>每行宽度(GIGE平台)
(手册Readout Drive Modes章节，见表格，All pixel模式)</t>
  </si>
  <si>
    <t xml:space="preserve">IMX304-807    
IMX267-807    </t>
  </si>
  <si>
    <t>slave_exp_delay</t>
  </si>
  <si>
    <t>FPGA曝光延迟寄存器</t>
  </si>
  <si>
    <t>dec2hex(ExpDelayLine)</t>
  </si>
  <si>
    <t>ROI</t>
  </si>
  <si>
    <t>fps_limit_period_time</t>
  </si>
  <si>
    <t>帧率限制帧周期</t>
  </si>
  <si>
    <t>ROUNDUP(((100000000/AcquisitionFrameRate)/tRow)*AcquisitionFrameRateMode,0)</t>
  </si>
  <si>
    <t>VBmin</t>
  </si>
  <si>
    <r>
      <rPr>
        <sz val="11"/>
        <color theme="1"/>
        <rFont val="宋体"/>
        <charset val="134"/>
        <scheme val="minor"/>
      </rPr>
      <t>最小帧消隐行数
(手册Global Shutter (Sequential Trigger Mode) Operation章节，V</t>
    </r>
    <r>
      <rPr>
        <sz val="9"/>
        <color theme="1"/>
        <rFont val="宋体"/>
        <charset val="134"/>
        <scheme val="minor"/>
      </rPr>
      <t>TR公式</t>
    </r>
    <r>
      <rPr>
        <sz val="11"/>
        <color theme="1"/>
        <rFont val="宋体"/>
        <charset val="134"/>
        <scheme val="minor"/>
      </rPr>
      <t>最后一个参数)</t>
    </r>
  </si>
  <si>
    <t>帧消隐最小值:
IMX253 IMX255-54
IMX304 IMX267-34</t>
  </si>
  <si>
    <t>slave_exp_time</t>
  </si>
  <si>
    <t>FPGA曝光寄存器</t>
  </si>
  <si>
    <t>dec2hex(exp_line_num)</t>
  </si>
  <si>
    <t>OffsetX</t>
  </si>
  <si>
    <t>水平偏移</t>
  </si>
  <si>
    <t>tp_limit_period_time</t>
  </si>
  <si>
    <t>带宽限制帧周期</t>
  </si>
  <si>
    <t>U3:
1000/frame_time_u3
GIGE:
1000/frame_time_gige</t>
  </si>
  <si>
    <t>ExpIntMin</t>
  </si>
  <si>
    <t>两次曝光间隔最小值
(手册Global Shutter (Sequential Trigger Mode) Operation章节，表格Parameter List of Global Shutter中的tTGES+1)</t>
  </si>
  <si>
    <t>IMX253 IMX255-24
IMX304 IMX267-12</t>
  </si>
  <si>
    <t>slave_trigger_interval</t>
  </si>
  <si>
    <t>触发间隔寄存器</t>
  </si>
  <si>
    <t>dec2hex(FramePeriod)</t>
  </si>
  <si>
    <t>OffsetY</t>
  </si>
  <si>
    <t>垂直偏移</t>
  </si>
  <si>
    <t>其他</t>
  </si>
  <si>
    <t>tOFFSET</t>
  </si>
  <si>
    <t>曝光时间误差
(手册Global Shutter (Sequential Trigger Mode) Operation章节，Exposuretime[s]公式最后一个参数)</t>
  </si>
  <si>
    <t>param_cfg_done</t>
  </si>
  <si>
    <t>寄存器成组生效标志，自清零
1:成组生效寄存器设置完成</t>
  </si>
  <si>
    <t>图像宽度</t>
  </si>
  <si>
    <t>exp_line_num</t>
  </si>
  <si>
    <t>实际曝光行数</t>
  </si>
  <si>
    <t>max(ROUNDUP(((exp_time*1000-tOFFSET)/tRow),0),1)</t>
  </si>
  <si>
    <t>bandwidth_max</t>
  </si>
  <si>
    <t>前端带宽最大值
用于限制最大窗口下的帧率</t>
  </si>
  <si>
    <t xml:space="preserve">U3:           GIGE:
3950          IMX304-1106   
              IMX267-1250   </t>
  </si>
  <si>
    <t>MByte/10s</t>
  </si>
  <si>
    <t>图像高度</t>
  </si>
  <si>
    <t>trig_to_strobe</t>
  </si>
  <si>
    <t>从触发到闪光灯的时间</t>
  </si>
  <si>
    <t>帧周期参数-U3</t>
  </si>
  <si>
    <t>chunk</t>
  </si>
  <si>
    <t>strobe_time</t>
  </si>
  <si>
    <t>闪光灯维持时间</t>
  </si>
  <si>
    <t>if(exp_time&gt;100us,exp_time,100us)</t>
  </si>
  <si>
    <t>ChunkEnableFrameID</t>
  </si>
  <si>
    <t>待定</t>
  </si>
  <si>
    <t>tTrigFrame</t>
  </si>
  <si>
    <t>从触发信号到得图</t>
  </si>
  <si>
    <t>(exp_time+11*tRow)/1000 + readout_time*tRow/1000</t>
  </si>
  <si>
    <t>leader size</t>
  </si>
  <si>
    <t>leader长度</t>
  </si>
  <si>
    <t>byte</t>
  </si>
  <si>
    <t>ChunkEnableTimestamp</t>
  </si>
  <si>
    <t>U3 Transmission bandwidth</t>
  </si>
  <si>
    <t>U3传输带宽</t>
  </si>
  <si>
    <t>frame_freq*frame_size/1000000</t>
  </si>
  <si>
    <t>MByte/s</t>
  </si>
  <si>
    <t>trailer size</t>
  </si>
  <si>
    <t>trailer长度</t>
  </si>
  <si>
    <t>if(chunk_mode_active=1,36,32)</t>
  </si>
  <si>
    <t>ChunkModeActive</t>
  </si>
  <si>
    <t>GIGE estimate bandwidth</t>
  </si>
  <si>
    <t>GIGE预估带宽</t>
  </si>
  <si>
    <t>frame_freq*image_size/1000000</t>
  </si>
  <si>
    <t>Byte/s</t>
  </si>
  <si>
    <t>image_size</t>
  </si>
  <si>
    <t>传输图像大小</t>
  </si>
  <si>
    <t>H*W*n，if pixel format = 8bit，n=1，else n=2</t>
  </si>
  <si>
    <t>带宽控制-U3</t>
  </si>
  <si>
    <t>readout_time</t>
  </si>
  <si>
    <t>实际读出时间
(Sequential Trigger Mode) Operation章节，表格Parameter List of Global Shutter中的tTGDLY)</t>
  </si>
  <si>
    <t>pic_height + tTGDLY</t>
  </si>
  <si>
    <t>frame_size</t>
  </si>
  <si>
    <t>传输图像尺寸</t>
  </si>
  <si>
    <t>leader_size+trailer_size+image_size size+(8+16*chunkid_en_ts+16*chunkid_en_fid)*chunk_mode_active</t>
  </si>
  <si>
    <t>DeviceLinkThroughputLimitMode</t>
  </si>
  <si>
    <t>带宽限制开关</t>
  </si>
  <si>
    <t>data_MaxValue</t>
  </si>
  <si>
    <t>传输数据最大值</t>
  </si>
  <si>
    <t>12500*LinkSpeed*(100-BandwidthReserve)</t>
  </si>
  <si>
    <t>tp_limit_period_time_u3</t>
  </si>
  <si>
    <t>ROUNDUP((max((frame_size*1000000/DeviceLinkThroughputLimit)*DeviceLinkThroughputLimitMode,(10*frame_size*1000000/bandwidth_max),0)</t>
  </si>
  <si>
    <t>DeviceLinkThroughputLimit</t>
  </si>
  <si>
    <t>带宽限制值(Bps)</t>
  </si>
  <si>
    <t>BandwidthData_MaxValue</t>
  </si>
  <si>
    <t>带宽数据最大值</t>
  </si>
  <si>
    <t>((62+(GevSCPSPacketSize-36))*complete_packet_num+62+incomplete_packet_size+168)+(GevSCPD+12)*(complete_packet_num+3)</t>
  </si>
  <si>
    <t>以太网参数-GIGE</t>
  </si>
  <si>
    <t>带宽控制-GIGE</t>
  </si>
  <si>
    <t>LinkSpeed</t>
  </si>
  <si>
    <t>网络连接速度(Mbit/s)</t>
  </si>
  <si>
    <t>preamble</t>
  </si>
  <si>
    <t>前导符</t>
  </si>
  <si>
    <t>固定为7byte</t>
  </si>
  <si>
    <r>
      <rPr>
        <sz val="11"/>
        <color theme="1"/>
        <rFont val="宋体"/>
        <charset val="134"/>
        <scheme val="minor"/>
      </rPr>
      <t xml:space="preserve">包长
(指的是以太网的负载包长 范围:512-16384)
</t>
    </r>
    <r>
      <rPr>
        <sz val="11"/>
        <color rgb="FFFF0000"/>
        <rFont val="宋体"/>
        <charset val="134"/>
        <scheme val="minor"/>
      </rPr>
      <t>该数值包含协议开销综合I，不包II</t>
    </r>
  </si>
  <si>
    <t>sfd</t>
  </si>
  <si>
    <t>起始帧分界符</t>
  </si>
  <si>
    <t>固定为1byte</t>
  </si>
  <si>
    <t>eth_header</t>
  </si>
  <si>
    <t>以太网协议头</t>
  </si>
  <si>
    <t>目的地址6byte+源地址6byte+以太网类型2byte</t>
  </si>
  <si>
    <t>GevSCPD_MaxValue</t>
  </si>
  <si>
    <t>包间隔最大值</t>
  </si>
  <si>
    <t>ip_header</t>
  </si>
  <si>
    <t>ip协议头</t>
  </si>
  <si>
    <t>固定为20byte</t>
  </si>
  <si>
    <t>udp_header</t>
  </si>
  <si>
    <t>udp协议头</t>
  </si>
  <si>
    <t>固定为8byte</t>
  </si>
  <si>
    <t>BandwidthReserve_MaxValue</t>
  </si>
  <si>
    <t>预留带宽最大值</t>
  </si>
  <si>
    <t>gigev_header</t>
  </si>
  <si>
    <t>gige vision协议头</t>
  </si>
  <si>
    <t>帧率控制</t>
  </si>
  <si>
    <t>fcs</t>
  </si>
  <si>
    <t>CRC校验</t>
  </si>
  <si>
    <t>固定为4byte</t>
  </si>
  <si>
    <t>AcquisitionFrameRateMode</t>
  </si>
  <si>
    <t>帧率控制开关</t>
  </si>
  <si>
    <t>ifg_min</t>
  </si>
  <si>
    <t>最小帧间隔</t>
  </si>
  <si>
    <t>固定为12byte</t>
  </si>
  <si>
    <t>AcquisitionFrameRate</t>
  </si>
  <si>
    <t>帧率控制值(fps)</t>
  </si>
  <si>
    <t>header_in_payload</t>
  </si>
  <si>
    <t>协议开销总和I:以太网负载部分的协议开销</t>
  </si>
  <si>
    <t>ip_header+udp_header+gigev_header</t>
  </si>
  <si>
    <t>eth_protocol_byte</t>
  </si>
  <si>
    <t>协议开销总和II:以太网协议开销</t>
  </si>
  <si>
    <t>preamble+sfd+eth_header+fcs</t>
  </si>
  <si>
    <t>data_size_min</t>
  </si>
  <si>
    <t>数据包长最小值</t>
  </si>
  <si>
    <t>64-eth_header-fcs-header_in_payload</t>
  </si>
  <si>
    <t>帧周期参数-GIGE</t>
  </si>
  <si>
    <r>
      <rPr>
        <sz val="11"/>
        <color theme="1"/>
        <rFont val="宋体"/>
        <charset val="134"/>
        <scheme val="minor"/>
      </rPr>
      <t>leader长度</t>
    </r>
    <r>
      <rPr>
        <sz val="11"/>
        <color rgb="FFFF0000"/>
        <rFont val="宋体"/>
        <charset val="134"/>
        <scheme val="minor"/>
      </rPr>
      <t>（净长）</t>
    </r>
  </si>
  <si>
    <t>chunk off:36
chunk on:12</t>
  </si>
  <si>
    <r>
      <rPr>
        <sz val="11"/>
        <color theme="1"/>
        <rFont val="宋体"/>
        <charset val="134"/>
        <scheme val="minor"/>
      </rPr>
      <t>trailer长度</t>
    </r>
    <r>
      <rPr>
        <sz val="11"/>
        <color rgb="FFFF0000"/>
        <rFont val="宋体"/>
        <charset val="134"/>
        <scheme val="minor"/>
      </rPr>
      <t>（净长）</t>
    </r>
  </si>
  <si>
    <t>实际上trailer大小是8byte，为了和64byte的以太网包对齐，此处写为10byte</t>
  </si>
  <si>
    <r>
      <rPr>
        <sz val="11"/>
        <color theme="1"/>
        <rFont val="宋体"/>
        <charset val="134"/>
        <scheme val="minor"/>
      </rPr>
      <t>传输图像大小</t>
    </r>
    <r>
      <rPr>
        <sz val="11"/>
        <color rgb="FFFF0000"/>
        <rFont val="宋体"/>
        <charset val="134"/>
        <scheme val="minor"/>
      </rPr>
      <t>（净长）</t>
    </r>
  </si>
  <si>
    <t>image_chunk_size</t>
  </si>
  <si>
    <r>
      <rPr>
        <sz val="11"/>
        <color theme="1"/>
        <rFont val="宋体"/>
        <charset val="134"/>
        <scheme val="minor"/>
      </rPr>
      <t>图像+chunk大小</t>
    </r>
    <r>
      <rPr>
        <sz val="11"/>
        <color rgb="FFFF0000"/>
        <rFont val="宋体"/>
        <charset val="134"/>
        <scheme val="minor"/>
      </rPr>
      <t>（净长）</t>
    </r>
  </si>
  <si>
    <r>
      <rPr>
        <sz val="11"/>
        <color rgb="FFFF0000"/>
        <rFont val="宋体"/>
        <charset val="134"/>
        <scheme val="minor"/>
      </rPr>
      <t>image_size</t>
    </r>
    <r>
      <rPr>
        <sz val="11"/>
        <color theme="1"/>
        <rFont val="宋体"/>
        <charset val="134"/>
        <scheme val="minor"/>
      </rPr>
      <t>+32*chunk_mode_active</t>
    </r>
  </si>
  <si>
    <t>complete_packet_num</t>
  </si>
  <si>
    <t>完整包个数</t>
  </si>
  <si>
    <t>int(image_chunk_size/(GevSCPSPacketSize-header_in_payload))</t>
  </si>
  <si>
    <t>incomplete_packet_size</t>
  </si>
  <si>
    <r>
      <rPr>
        <sz val="11"/>
        <color theme="1"/>
        <rFont val="宋体"/>
        <charset val="134"/>
        <scheme val="minor"/>
      </rPr>
      <t>残包大小</t>
    </r>
    <r>
      <rPr>
        <sz val="11"/>
        <color rgb="FFFF0000"/>
        <rFont val="宋体"/>
        <charset val="134"/>
        <scheme val="minor"/>
      </rPr>
      <t>（净长）</t>
    </r>
  </si>
  <si>
    <t>image_chunk_size-(GevSCPSPacketSize-header_in_payload)*complete_packet_num</t>
  </si>
  <si>
    <t>incomplete_packet_num</t>
  </si>
  <si>
    <t>残包个数</t>
  </si>
  <si>
    <t>if(incomplete_packet_size==0,0,1)</t>
  </si>
  <si>
    <t>incomplete_packet_size_min</t>
  </si>
  <si>
    <r>
      <rPr>
        <sz val="11"/>
        <color theme="1"/>
        <rFont val="宋体"/>
        <charset val="134"/>
        <scheme val="minor"/>
      </rPr>
      <t>经过最小包长判断之后的残包大小</t>
    </r>
    <r>
      <rPr>
        <sz val="11"/>
        <color rgb="FFFF0000"/>
        <rFont val="宋体"/>
        <charset val="134"/>
        <scheme val="minor"/>
      </rPr>
      <t>（净长）</t>
    </r>
  </si>
  <si>
    <t>残包大小最少要是64byte
if(incomplete_packet_size&lt;data_size_min,data_size_min,incomplete_packet_size)</t>
  </si>
  <si>
    <t>leader_packet_size</t>
  </si>
  <si>
    <r>
      <rPr>
        <sz val="11"/>
        <color theme="1"/>
        <rFont val="宋体"/>
        <charset val="134"/>
        <scheme val="minor"/>
      </rPr>
      <t>以太网传输leader包的大小</t>
    </r>
    <r>
      <rPr>
        <sz val="11"/>
        <color rgb="FFFF0000"/>
        <rFont val="宋体"/>
        <charset val="134"/>
        <scheme val="minor"/>
      </rPr>
      <t>（包含全部协议开销）</t>
    </r>
  </si>
  <si>
    <t>eth_protocol_byte+header_in_payload+leader_size</t>
  </si>
  <si>
    <t>trailer_packet_size</t>
  </si>
  <si>
    <r>
      <rPr>
        <sz val="11"/>
        <color theme="1"/>
        <rFont val="宋体"/>
        <charset val="134"/>
        <scheme val="minor"/>
      </rPr>
      <t>以太网传输trailer包的大小</t>
    </r>
    <r>
      <rPr>
        <sz val="11"/>
        <color rgb="FFFF0000"/>
        <rFont val="宋体"/>
        <charset val="134"/>
        <scheme val="minor"/>
      </rPr>
      <t>（包含全部协议开销）</t>
    </r>
  </si>
  <si>
    <t>frame_packet_size</t>
  </si>
  <si>
    <r>
      <rPr>
        <sz val="11"/>
        <color theme="1"/>
        <rFont val="宋体"/>
        <charset val="134"/>
        <scheme val="minor"/>
      </rPr>
      <t>以太网传输image和chunk的大小</t>
    </r>
    <r>
      <rPr>
        <sz val="11"/>
        <color rgb="FFFF0000"/>
        <rFont val="宋体"/>
        <charset val="134"/>
        <scheme val="minor"/>
      </rPr>
      <t>（包含全部协议开销）</t>
    </r>
  </si>
  <si>
    <t>complete_packet_num*(packet_size+eth_protocol_byte)+incomplete_packet_num*(incomplete_packet_size_min+eth_protocol_byte+header_in_payload)</t>
  </si>
  <si>
    <t>all_packet_gap</t>
  </si>
  <si>
    <r>
      <rPr>
        <sz val="11"/>
        <color theme="1"/>
        <rFont val="宋体"/>
        <charset val="134"/>
        <scheme val="minor"/>
      </rPr>
      <t xml:space="preserve">所有的帧间隔
</t>
    </r>
    <r>
      <rPr>
        <sz val="11"/>
        <color rgb="FFFF0000"/>
        <rFont val="宋体"/>
        <charset val="134"/>
        <scheme val="minor"/>
      </rPr>
      <t>（前导码和CRC校验已经在计算开销II时加过一次，这里只对最小帧间隔进行计算）</t>
    </r>
  </si>
  <si>
    <t>(leader+trailer+残包个数+完整包个数)*MAX(GevSCPD,ifg_min)</t>
  </si>
  <si>
    <r>
      <rPr>
        <sz val="11"/>
        <color theme="1"/>
        <rFont val="宋体"/>
        <charset val="134"/>
        <scheme val="minor"/>
      </rPr>
      <t>传输图像尺寸</t>
    </r>
    <r>
      <rPr>
        <sz val="11"/>
        <color rgb="FFFF0000"/>
        <rFont val="宋体"/>
        <charset val="134"/>
        <scheme val="minor"/>
      </rPr>
      <t>（包含全部协议开销与包间隔）</t>
    </r>
  </si>
  <si>
    <t>leader_packet_size+trailer_packet_size+frame_packet_size+all_packet_gap</t>
  </si>
  <si>
    <t>eth_valid_bandwidth</t>
  </si>
  <si>
    <t>以太网有效传输带宽</t>
  </si>
  <si>
    <t>int(link_speed*(100-BandwidthReserve)*10/100/8)</t>
  </si>
  <si>
    <t>Mbyte/10s</t>
  </si>
  <si>
    <t>backend_limit_period_time</t>
  </si>
  <si>
    <t>后端传输限制的帧周期</t>
  </si>
  <si>
    <t>ROUNDUP(frame_size/eth_valid_bandwidth*10/tRow)</t>
  </si>
  <si>
    <t>frontend_limit_period_time</t>
  </si>
  <si>
    <t>前端最大带宽限制的帧周期</t>
  </si>
  <si>
    <t>ROUNDUP((image_chunk_size+leader size+trailer)/bandwidth_max)/tRow</t>
  </si>
  <si>
    <t>tp_limit_period_time_gige</t>
  </si>
  <si>
    <t>max(backend_limit_period_time,frontend_limit_period_time)</t>
  </si>
  <si>
    <t>mars-880-13gx</t>
  </si>
  <si>
    <t>参数输入：</t>
  </si>
  <si>
    <t>图像宽度最大值</t>
  </si>
  <si>
    <t>WidthMax</t>
  </si>
  <si>
    <t>图像高度最大值</t>
  </si>
  <si>
    <t>HeightMax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</si>
  <si>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</si>
  <si>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</si>
  <si>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</si>
  <si>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</si>
  <si>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</si>
  <si>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</si>
  <si>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</si>
  <si>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</si>
  <si>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ExposureDelay(us)</t>
  </si>
  <si>
    <t>包长</t>
  </si>
  <si>
    <t>包间隔</t>
  </si>
  <si>
    <t>采集帧率值</t>
  </si>
  <si>
    <t>采集帧率设置使能</t>
  </si>
  <si>
    <t>网络连接速度</t>
  </si>
  <si>
    <t>预留带宽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</si>
  <si>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</si>
  <si>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</si>
  <si>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</si>
  <si>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</si>
  <si>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</si>
  <si>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</si>
  <si>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包个数</t>
  </si>
  <si>
    <t>残包大小</t>
  </si>
  <si>
    <t>图像传输周期</t>
  </si>
  <si>
    <t>采集帧率帧周期</t>
  </si>
  <si>
    <t>包间隔范围</t>
  </si>
  <si>
    <t>预留带宽范围</t>
  </si>
  <si>
    <t>包间隔未限制</t>
  </si>
  <si>
    <t>帧周期（时间us）</t>
  </si>
  <si>
    <t>FrameRate</t>
  </si>
  <si>
    <t>图像传输带宽</t>
  </si>
  <si>
    <t>预估带宽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</si>
  <si>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</si>
  <si>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</si>
  <si>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</si>
  <si>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</si>
  <si>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</si>
  <si>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</si>
  <si>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</si>
  <si>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</si>
  <si>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</si>
  <si>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</si>
  <si>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</si>
  <si>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Error information：</t>
  </si>
  <si>
    <t>Current parameter is not in the range [64, 'WidthMax'], please input again.</t>
  </si>
  <si>
    <t>Current parameter is not in the range [64, 'HeightMax'], please input again.</t>
  </si>
  <si>
    <t xml:space="preserve">The frame rate calculated by current parameter may be incorrect, please modify paramerters according to prompt. </t>
  </si>
  <si>
    <t>FrameRateCorrect：</t>
  </si>
  <si>
    <t>帧率控制值</t>
  </si>
  <si>
    <t>错误信息：</t>
  </si>
  <si>
    <t>当前参数不在范围4~图像宽度最大值内，请重新输入</t>
  </si>
  <si>
    <t>当前参数不在范围2~图像高度最大值内，请重新输入</t>
  </si>
  <si>
    <t>当前帧率计算表中参数计算出的帧率可能出现异常，请根据提示修改参数</t>
  </si>
  <si>
    <t>帧率计算是否正确：</t>
  </si>
  <si>
    <t>me2p-2621-4gx</t>
  </si>
  <si>
    <t>映射关系表（绝大多数应用于本表格的公式计算，还有一些关联fpga工程中的宏定义）</t>
  </si>
  <si>
    <t>参数输入</t>
  </si>
  <si>
    <t>固定参数（每款sensor值不一样，需要提取成宏）</t>
  </si>
  <si>
    <t>1.camera_model</t>
  </si>
  <si>
    <t>2.sensor</t>
  </si>
  <si>
    <t xml:space="preserve">3.Master Clock </t>
  </si>
  <si>
    <t>4.pixel_clk</t>
  </si>
  <si>
    <t>5.phy num</t>
  </si>
  <si>
    <t>6.phy ch num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</si>
  <si>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</si>
  <si>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</si>
  <si>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</si>
  <si>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</si>
  <si>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</si>
  <si>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</si>
  <si>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13.Tfot</t>
  </si>
  <si>
    <t>14.LINE_U_LENGTH</t>
  </si>
  <si>
    <t>15.Nline</t>
  </si>
  <si>
    <t>16.exp_start_dly_line</t>
  </si>
  <si>
    <t>17.exp_end_dly_clk</t>
  </si>
  <si>
    <t>18.tp_row_num</t>
  </si>
  <si>
    <t>19.VBmin</t>
  </si>
  <si>
    <t>20.Readout margin</t>
  </si>
  <si>
    <t>21.PixelFormat</t>
  </si>
  <si>
    <t>22.Default exposureTime</t>
  </si>
  <si>
    <t>23.Default pic_width</t>
  </si>
  <si>
    <t>24.Default pic_height</t>
  </si>
  <si>
    <t>25.Default FrameRate</t>
  </si>
  <si>
    <t>用户值
dec</t>
  </si>
  <si>
    <t>gmax0505</t>
  </si>
  <si>
    <t>img_row_time</t>
  </si>
  <si>
    <t>图像行周期NROT</t>
  </si>
  <si>
    <t>1000*Nline*LINE_U_LENGTH/freq_pix_clk</t>
  </si>
  <si>
    <t>freq_pix_clk</t>
  </si>
  <si>
    <t>像素时钟频率</t>
  </si>
  <si>
    <t>参见映射关系表</t>
  </si>
  <si>
    <t>MHz</t>
  </si>
  <si>
    <t>pixel_format</t>
  </si>
  <si>
    <t>frame_time</t>
  </si>
  <si>
    <t>max(readout_period_time,exp_period_time,tp_limit_period_time,fps_limit_period_time)</t>
  </si>
  <si>
    <t>LINE_U_LENGTH</t>
  </si>
  <si>
    <t>frame_freq</t>
  </si>
  <si>
    <t>1000000/frame_time</t>
  </si>
  <si>
    <t>Tfot</t>
  </si>
  <si>
    <t>FOT时间</t>
  </si>
  <si>
    <t>exp_time</t>
  </si>
  <si>
    <t>Nline</t>
  </si>
  <si>
    <t>行周期计算系数</t>
  </si>
  <si>
    <t>exp_delay</t>
  </si>
  <si>
    <t>ROUNDUP(((Height+VBmin+Readout margin)*img_row_time+Tfot)/1000,0)</t>
  </si>
  <si>
    <t>最小帧消隐行数</t>
  </si>
  <si>
    <t>roundup(ExposureTime+exp_start_delay+exp_end_delay+Tfot)</t>
  </si>
  <si>
    <t>exp_start_dly_line</t>
  </si>
  <si>
    <t>曝光开始延迟</t>
  </si>
  <si>
    <t>trig_delay</t>
  </si>
  <si>
    <t>触发延迟</t>
  </si>
  <si>
    <t>ROUNDUP((1000000/fps_limit_value)*fps_limit,0)</t>
  </si>
  <si>
    <t>exp_end_dly_clk</t>
  </si>
  <si>
    <t>曝光结束延迟</t>
  </si>
  <si>
    <t>clk</t>
  </si>
  <si>
    <t>bandwidth_limit_period_time</t>
  </si>
  <si>
    <t>tp_row_num</t>
  </si>
  <si>
    <t>行暂停时间</t>
  </si>
  <si>
    <t>sensor相关信息</t>
  </si>
  <si>
    <t>Readout margin</t>
  </si>
  <si>
    <t>读出时间边界预留</t>
  </si>
  <si>
    <t>实际曝光时间</t>
  </si>
  <si>
    <t>ROUNDUP((1000*ExposureTime-1000*tp_row_num/freq_pix_clk)/1000,0)</t>
  </si>
  <si>
    <t>Gige Vision参数</t>
  </si>
  <si>
    <t>exp_delay_line_num</t>
  </si>
  <si>
    <t>曝光延迟时间</t>
  </si>
  <si>
    <t>judgment of risky duration</t>
  </si>
  <si>
    <t>判断下帧曝光是否落到风险区</t>
  </si>
  <si>
    <t>IF((frame_time-exp_time)&lt;readout_period_time,IF((frame_time-exp_time)&gt;=(readout_period_time-6*ROUNDUP(img_row_time/1000,0)),1,0),0)</t>
  </si>
  <si>
    <t>exp risky delay time</t>
  </si>
  <si>
    <t>由风险区导致的下帧曝光延迟时间</t>
  </si>
  <si>
    <t>IF(judgment of risky duration=1,readout_period_time-(frame_time-exp_time),0)</t>
  </si>
  <si>
    <t>帧信息使能</t>
  </si>
  <si>
    <t>带宽控制</t>
  </si>
  <si>
    <t>Image effective bandwidth</t>
  </si>
  <si>
    <t>图像有效带宽</t>
  </si>
  <si>
    <t>frame_freq*image_size</t>
  </si>
  <si>
    <t>GevLinkSpeed</t>
  </si>
  <si>
    <t>Mbit/s</t>
  </si>
  <si>
    <t>Transport total value</t>
  </si>
  <si>
    <t>传输总带宽</t>
  </si>
  <si>
    <t>frame_freq*frame_packet_size</t>
  </si>
  <si>
    <t>流通道包长
(指的是以太网的负载包长 范围:512-16384)
该数值包含协议开销综合I，不包II</t>
  </si>
  <si>
    <t>Transport theoretical value</t>
  </si>
  <si>
    <t>传输理论带宽</t>
  </si>
  <si>
    <t>1250*GevLinkSpeed*(100-BandwidthReserve)</t>
  </si>
  <si>
    <t>寄存器</t>
  </si>
  <si>
    <t>地址hex</t>
  </si>
  <si>
    <t>最大包间隔</t>
  </si>
  <si>
    <t>gmax_exposure_delay</t>
  </si>
  <si>
    <t>0x77601654</t>
  </si>
  <si>
    <t>gmax系列相机曝光延时，仅用于配合闪光灯补光使用，单位是us。</t>
  </si>
  <si>
    <t>%</t>
  </si>
  <si>
    <t>Max gevSCPD</t>
  </si>
  <si>
    <t>最大包间隔时间</t>
  </si>
  <si>
    <t>IF(ROUNDDOWN((eth_valid_bandwidth-(frame_packet_size+leader_packet_size+trailer_packet_size))/(complete_packet_num+incomplete_packet_num+2),0)&lt;180000,ROUNDDOWN((eth_valid_bandwidth-(frame_packet_size+leader_packet_size+trailer_packet_size))/(complete_packet_num+incomplete_packet_num+2),0),180000)</t>
  </si>
  <si>
    <t>gmax_exposure_time</t>
  </si>
  <si>
    <t>0x77601658</t>
  </si>
  <si>
    <t>gmax系列相机从模式曝光时间，单位是us</t>
  </si>
  <si>
    <t>最大预留带宽</t>
  </si>
  <si>
    <t>gmax_trigger_interval_cont</t>
  </si>
  <si>
    <t>0x7760165c</t>
  </si>
  <si>
    <t xml:space="preserve">gmax系列相机触发间隔-连续模式，表示帧周期，单位是us。 </t>
  </si>
  <si>
    <t>采集帧率调节模式(0/1)</t>
  </si>
  <si>
    <t>Max BandwidthReserve</t>
  </si>
  <si>
    <t>IF((100-ROUNDDOWN(10*eth_valid_bandwidth/(125000*GevLinkSpeed),0)-1)&lt;0,0,(100-ROUNDDOWN(10*eth_valid_bandwidth/(125000*GevLinkSpeed),0)-1))</t>
  </si>
  <si>
    <t>gmax_trigger_interval_trig</t>
  </si>
  <si>
    <t>0x77601850</t>
  </si>
  <si>
    <t xml:space="preserve">gmax系列相机触发间隔-触发模式，表示帧周期，单位是us。 </t>
  </si>
  <si>
    <t>gmax_readout_time</t>
  </si>
  <si>
    <t>0x7760185C</t>
  </si>
  <si>
    <t>gmax系列相机读出时间，表示图像传输时间，单位是us。</t>
  </si>
  <si>
    <t>Skipping</t>
  </si>
  <si>
    <t>gmax_risky_start</t>
  </si>
  <si>
    <t>0x77601860</t>
  </si>
  <si>
    <t>gmax系列相机风险区范围，单位是us。</t>
  </si>
  <si>
    <t>Height+tp_row_num+4</t>
  </si>
  <si>
    <t>水平Skipping</t>
  </si>
  <si>
    <t>Horizontal Skipping</t>
  </si>
  <si>
    <t>0x77601500</t>
  </si>
  <si>
    <t>1:成组生效寄存器设置完成</t>
  </si>
  <si>
    <t>0x1</t>
  </si>
  <si>
    <t>垂直Skipping</t>
  </si>
  <si>
    <t>Vertical Skipping</t>
  </si>
  <si>
    <t>leader_size</t>
  </si>
  <si>
    <r>
      <rPr>
        <sz val="11"/>
        <rFont val="宋体"/>
        <charset val="134"/>
        <scheme val="minor"/>
      </rPr>
      <t>leader长度</t>
    </r>
    <r>
      <rPr>
        <sz val="11"/>
        <rFont val="宋体"/>
        <charset val="134"/>
        <scheme val="minor"/>
      </rPr>
      <t>（净长）</t>
    </r>
  </si>
  <si>
    <t>roi_line_hide</t>
  </si>
  <si>
    <t>0x7760147C</t>
  </si>
  <si>
    <t>水平行消隐，单位是clk_pix</t>
  </si>
  <si>
    <t>ROUNDUP(img_row_time*freq_pix_clk/1000,0)-Width/phy num/phy ch num</t>
  </si>
  <si>
    <t>trailer_size</t>
  </si>
  <si>
    <t>trailer长度（净长）</t>
  </si>
  <si>
    <t>F</t>
  </si>
  <si>
    <t>传输图像大小（净长）</t>
  </si>
  <si>
    <t>Height*Width*n，if pixel format = 8bit，n=1，else n=2</t>
  </si>
  <si>
    <t>图像+chunk大小（净长）</t>
  </si>
  <si>
    <t>image_size+32*chunk_mode_active</t>
  </si>
  <si>
    <t>残包大小（净长）</t>
  </si>
  <si>
    <t>if(incomplete_packet_size=0,0,1)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</si>
  <si>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</si>
  <si>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</si>
  <si>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</si>
  <si>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</si>
  <si>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以太网传输image和chunk的大小（包含全部协议开销）</t>
  </si>
  <si>
    <t>complete_packet_num*(GevSCPSPacketSize+eth_protocol_byte)+incomplete_packet_num*(incomplete_packet_size_min+eth_protocol_byte+header_in_payload)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</si>
  <si>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</si>
  <si>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</si>
  <si>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</si>
  <si>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byte/10s</t>
  </si>
  <si>
    <t>ROUNDUP(ROUNDUP(1000000*frame_size/eth_valid_bandwidth*10)</t>
  </si>
  <si>
    <t>Horizontal Binning</t>
  </si>
  <si>
    <t>Vertical Binning</t>
  </si>
  <si>
    <t>PixelFormat(8/10/10packed/12/12packed)</t>
  </si>
  <si>
    <t>SensorBitDepth</t>
  </si>
  <si>
    <t>Current parameter is not in the range [4, 'WidthMax'], please input again.</t>
  </si>
  <si>
    <t>Current parameter is not in the range [2, 'HeightMax'], please input again.</t>
  </si>
  <si>
    <t>Non-overlapping exposure</t>
  </si>
  <si>
    <t>ExposureTimeMode</t>
  </si>
  <si>
    <t>Standard</t>
  </si>
  <si>
    <t>fpga_platform</t>
  </si>
  <si>
    <t>FPGA平台</t>
  </si>
  <si>
    <t>A7-100T</t>
  </si>
  <si>
    <t>?</t>
  </si>
  <si>
    <t>MARS-138-95GM-P-TN-SWIR</t>
  </si>
  <si>
    <t>sensor固定参数</t>
  </si>
  <si>
    <t>3.port</t>
  </si>
  <si>
    <t xml:space="preserve">4.Master Clock </t>
  </si>
  <si>
    <t>13.hmax</t>
  </si>
  <si>
    <t>14.VBmin</t>
  </si>
  <si>
    <t>15.ExpIntMin</t>
  </si>
  <si>
    <t>16.tOFFSET</t>
  </si>
  <si>
    <t>17.tTGDLY</t>
  </si>
  <si>
    <t>18.Default ExposureTime</t>
  </si>
  <si>
    <t>19.Default FrameRate</t>
  </si>
  <si>
    <t>20.PixelFormat</t>
  </si>
  <si>
    <t>21.isp_ch_num</t>
  </si>
  <si>
    <t>22.Pix Clock</t>
  </si>
  <si>
    <t>parameter</t>
  </si>
  <si>
    <t>IMX990</t>
  </si>
  <si>
    <t>GIGE</t>
  </si>
  <si>
    <t>像素格式(8/10/12)</t>
  </si>
  <si>
    <t>Finck</t>
  </si>
  <si>
    <t>37.125 or 54 or 74.25 抖动幅度0.96~1.02</t>
  </si>
  <si>
    <t>1.需求
2.和sensor skip是否相关，还需确认
3.与像素格式相关
4.与触发模式相关</t>
  </si>
  <si>
    <t>IF(ExposureTimeMode="Ultra Short",MAX(readout_period_time,exp_period_time,fps_limit_period_time,tp_limit_period_time),IF(ExposureMode="TriggerWidth",ROUNDUP(MAX(readout_period_time,exp_period_triggerwidth,fps_limit_period_time)*J6/1000,0),ROUNDUP(MAX(readout_period_time,exp_period_time,fps_limit_period_time)*J6/1000,0)))</t>
  </si>
  <si>
    <t>直接对应sensor映射表中的值</t>
  </si>
  <si>
    <t>像素位深（8/10/12）</t>
  </si>
  <si>
    <t xml:space="preserve">PixelBitDepth </t>
  </si>
  <si>
    <t>1000000/tFrame</t>
  </si>
  <si>
    <r>
      <rPr>
        <sz val="11"/>
        <color theme="1"/>
        <rFont val="宋体"/>
        <charset val="134"/>
        <scheme val="minor"/>
      </rPr>
      <t xml:space="preserve">有效像素边界(手册Pixel Arrangement章节，图示)
</t>
    </r>
    <r>
      <rPr>
        <sz val="11"/>
        <color rgb="FFFF0000"/>
        <rFont val="宋体"/>
        <charset val="134"/>
        <scheme val="minor"/>
      </rPr>
      <t>实际预研结果，sensor skip不需要修改垂直高度和偏移</t>
    </r>
  </si>
  <si>
    <t>每行宽度(手册Readout Drive Modes章节，见表格，All pixel模式)</t>
  </si>
  <si>
    <t>非交叠曝光模式</t>
  </si>
  <si>
    <t>0（默认交叠曝光）</t>
  </si>
  <si>
    <r>
      <rPr>
        <sz val="11"/>
        <rFont val="宋体"/>
        <charset val="134"/>
        <scheme val="minor"/>
      </rPr>
      <t>IF(ExposureTimeMode="Ultra Short",ROUNDUP((Height+Vbmin</t>
    </r>
    <r>
      <rPr>
        <sz val="11"/>
        <color rgb="FFFF0000"/>
        <rFont val="宋体"/>
        <charset val="134"/>
        <scheme val="minor"/>
      </rPr>
      <t>+2</t>
    </r>
    <r>
      <rPr>
        <sz val="11"/>
        <rFont val="宋体"/>
        <charset val="134"/>
        <scheme val="minor"/>
      </rPr>
      <t>)*tRow/1000,0),</t>
    </r>
    <r>
      <rPr>
        <sz val="11"/>
        <color rgb="FFFF0000"/>
        <rFont val="宋体"/>
        <charset val="134"/>
        <scheme val="minor"/>
      </rPr>
      <t>IF(交叠，Height+Vbmin+exp_period_time,Height+Vbmin)</t>
    </r>
    <r>
      <rPr>
        <sz val="11"/>
        <rFont val="宋体"/>
        <charset val="134"/>
        <scheme val="minor"/>
      </rPr>
      <t>)</t>
    </r>
  </si>
  <si>
    <t>hmax（50MHz）</t>
  </si>
  <si>
    <t>每行宽度
(sensor_ctrl修改时钟为50Mhz，所以这里要换算)</t>
  </si>
  <si>
    <t>ROUNDUP(hmax/Finck*50*1000,0)</t>
  </si>
  <si>
    <t>曝光模式</t>
  </si>
  <si>
    <t>ExposureMode</t>
  </si>
  <si>
    <t>Timed</t>
  </si>
  <si>
    <t>IF(ExposureTimeMode="Ultra Short",xtrig_length+exp_delay_time+readout_time+20,exp_line_num+exp_delay_time+ExpIntMin)</t>
  </si>
  <si>
    <r>
      <rPr>
        <sz val="11"/>
        <color theme="1"/>
        <rFont val="宋体"/>
        <charset val="134"/>
        <scheme val="minor"/>
      </rPr>
      <t>最小帧消隐行数(手册Global Shutter (Sequential Trigger Mode) Operation章节，V</t>
    </r>
    <r>
      <rPr>
        <sz val="9"/>
        <color theme="1"/>
        <rFont val="宋体"/>
        <charset val="134"/>
        <scheme val="minor"/>
      </rPr>
      <t>TR公式</t>
    </r>
    <r>
      <rPr>
        <sz val="11"/>
        <color theme="1"/>
        <rFont val="宋体"/>
        <charset val="134"/>
        <scheme val="minor"/>
      </rPr>
      <t>最后一个参数)</t>
    </r>
  </si>
  <si>
    <t>ExposureOverlapTimeMax</t>
  </si>
  <si>
    <t>IF(ExposureTimeMode="Ultra Short",ROUNDUP(((100000/AcquisitionFrameRate))*AcquisitionFrameRateMode,0),ROUNDUP(((100000000/AcquisitionFrameRate)/tRow)*AcquisitionFrameRateMode,0))</t>
  </si>
  <si>
    <t>两次曝光间隔最小值(手册Global Shutter (Sequential Trigger Mode) Operation章节，表格Parameter List of Global Shutter中的tTGES+1)</t>
  </si>
  <si>
    <t>曝光时间模式</t>
  </si>
  <si>
    <t>bandwidth_limit_period_time
（在突发采集“standard”时，不考虑预留带宽,考虑满带宽;
在突发采集“highspeed”时，不考虑带宽）</t>
  </si>
  <si>
    <t>曝光时间误差(手册Global Shutter (Sequential Trigger Mode) Operation章节，Exposuretime[s]公式最后一个参数)</t>
  </si>
  <si>
    <t>phy_num</t>
  </si>
  <si>
    <t>sensor串行差分时钟的数量</t>
  </si>
  <si>
    <t>xtrig_length</t>
  </si>
  <si>
    <t>曝光信号实际长度</t>
  </si>
  <si>
    <t>IF(ExposureTimeMode="Ultra Short",IF(ExposureTime&gt;8,ROUNDUP((ExposureTime*1000-tOFFSET)/1000,0),1),MAX(ROUNDUP(((ExposureTime*1000-tOFFSET)/tRow),0),1))</t>
  </si>
  <si>
    <t>phy_ch_num</t>
  </si>
  <si>
    <t>每路sensor串行差分时钟对应的通道数</t>
  </si>
  <si>
    <t>TriggerWidth模式下触发信号长度（demo上没有此项设置，在调试时方便计算帧周期）</t>
  </si>
  <si>
    <t>TriggerWidthLength</t>
  </si>
  <si>
    <t>exp_delay_time</t>
  </si>
  <si>
    <t>IF(ExposureTimeMode="Ultra Short",ExposureDelay,ROUNDUP(((1000*ExposureDelay)/tRow),0))</t>
  </si>
  <si>
    <t>sensor_width_max</t>
  </si>
  <si>
    <t>sensor输出的宽度</t>
  </si>
  <si>
    <t>触发模式</t>
  </si>
  <si>
    <t>isp_ch_num</t>
  </si>
  <si>
    <t>数据通道处理通道数</t>
  </si>
  <si>
    <t>TriggerMode</t>
  </si>
  <si>
    <t>极小曝光时，闪光灯维持时间至少比曝光时间要展宽4us；普通曝光时，闪光灯维持时间至少比曝光时间要展宽4个行周期</t>
  </si>
  <si>
    <t>IF(ExposureTimeMode="Ultra Short",IF((exp_time+4))&gt;100us,(exp_time+4),100us),if((exp_time+4*tRow/1000))&gt;100us,(exp_time+4*tRow/1000),100us))</t>
  </si>
  <si>
    <t>clk_pix</t>
  </si>
  <si>
    <t>pix时钟</t>
  </si>
  <si>
    <t>突发采集模式</t>
  </si>
  <si>
    <t>AcquisitionBurstMode</t>
  </si>
  <si>
    <t>IF(ExposureTimeMode="Ultra Short",ROUNDUP((pic_height+11+tTGDLY)*tRow/1000,0),pic_height+11+tTGDLY)</t>
  </si>
  <si>
    <t>本单元格为了对齐标题行，无实际意义</t>
  </si>
  <si>
    <t>设置寄存器</t>
  </si>
  <si>
    <t>说明</t>
  </si>
  <si>
    <t>IF(ROUNDDOWN((1000000*eth_valid_bandwidth-(frame_packet_size+leader_packet_size+trailer_packet_size))/(complete_packet_num+incomplete_packet_num+2),0)-12&lt;180000,ROUNDDOWN((1000000*eth_valid_bandwidth-(frame_packet_size+leader_packet_size+trailer_packet_size))/(complete_packet_num+incomplete_packet_num+2),0)-12,180000)</t>
  </si>
  <si>
    <t>帧周期相关寄存器，固件重新计算帧周期之后，会将对应的寄存器重新设置给FPGA，最后再设置一次成组生效寄存器，成组生效寄存器有效之后，之前设置的寄存器才会生效</t>
  </si>
  <si>
    <t>序列控制</t>
  </si>
  <si>
    <t>TriggerWidth模式</t>
  </si>
  <si>
    <t>sonyimx_exposure_mode</t>
  </si>
  <si>
    <t xml:space="preserve">曝光模式控制寄存器
0:timed
1:trigger width
2:trigger </t>
  </si>
  <si>
    <t>0x01000850</t>
  </si>
  <si>
    <t>IF(ExposureMode="TriggerWidth",1,0)</t>
  </si>
  <si>
    <t>sequencer_configration_mode</t>
  </si>
  <si>
    <t>序列配置模式使能</t>
  </si>
  <si>
    <t>exp_overlaptime_maxline_num</t>
  </si>
  <si>
    <t>交叠曝光对应的行数</t>
  </si>
  <si>
    <t>MAX(INT(ExposureOverlapTimeMax*1000/tRow),1)</t>
  </si>
  <si>
    <t>sonyimx_overlap_time_max</t>
  </si>
  <si>
    <t>电平控制曝光模式下，预期交叠曝光时间控制寄存器，以行为单位</t>
  </si>
  <si>
    <t>0x01000854</t>
  </si>
  <si>
    <t>dec2hex(exp_overlaptime_maxline_num)</t>
  </si>
  <si>
    <t>exp_period_triggerwidth</t>
  </si>
  <si>
    <t>TriggerWidth模式下曝光时间决定的帧周期</t>
  </si>
  <si>
    <t xml:space="preserve">IF((TriggerMode=1)*(ExposureMode="TriggerWidth"),readout_period_time+IF(ROUNDUP((1000*TriggerWidthLength/tRow),0)&gt;exp_overlaptime_maxline_num,ROUNDUP((1000*TriggerWidthLength/tRow),0)-exp_overlaptime_maxline_num,0),"null")    </t>
  </si>
  <si>
    <t>trigger_interval_cont</t>
  </si>
  <si>
    <t>触发间隔寄存器-连续模式</t>
  </si>
  <si>
    <t>exp_time_triggerwidth</t>
  </si>
  <si>
    <t>TriggerWidth模式下实际曝光时间</t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</si>
  <si>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      </t>
  </si>
  <si>
    <t>trigger_interval_trig</t>
  </si>
  <si>
    <t>触发间隔寄存器-触发模式</t>
  </si>
  <si>
    <t xml:space="preserve">trigger_interval_single </t>
  </si>
  <si>
    <t>触发间隔寄存器-单帧采集模式</t>
  </si>
  <si>
    <t>_</t>
  </si>
  <si>
    <t>寄存器成组生效标志，自清零</t>
  </si>
  <si>
    <t>sonyimx_sensor_mode</t>
  </si>
  <si>
    <t>sonyimx系列sensor工作模式
0-master模式
1-slave模式</t>
  </si>
  <si>
    <t>IF(ExposureMode="Ultra Short",0,1)</t>
  </si>
  <si>
    <t>sonyimx系列sensor工作模式寄存器，只能在停采期间设置</t>
  </si>
  <si>
    <t>exp_enable</t>
  </si>
  <si>
    <t>曝光使能信号，控制sensor工作在Ultra Short模式的时候是否可以开始曝光
0-可以曝光
1-不能曝光</t>
  </si>
  <si>
    <t xml:space="preserve">1、只有当sensor从其他曝光时间切换至Ultra Short模式的14us及以下时，先将该寄存器置0，然后查询完整帧标志，完整帧标志无效后，设置sensor的Ultra Short相关寄存器为对应曝光值，之后将该寄存器置1，完成曝光时间的设置
2、当sensor工作在其他曝光时间时，无论是Ultra Short模式的15-100us，还是工作在standard模式，该寄存器需要保持为1
</t>
  </si>
  <si>
    <t>chunk_size</t>
  </si>
  <si>
    <t>chunk大小</t>
  </si>
  <si>
    <t>大恒专用帧信息，a7系列为48byte</t>
  </si>
  <si>
    <t>sensor读出时间</t>
  </si>
  <si>
    <t>dec2hex(readout_period_time)</t>
  </si>
  <si>
    <t>读出时间寄存器，由于只在停采期间会发生改变，因此不用作生效时机控制</t>
  </si>
  <si>
    <r>
      <rPr>
        <sz val="11"/>
        <rFont val="宋体"/>
        <charset val="134"/>
        <scheme val="minor"/>
      </rPr>
      <t>Height*Width*n，if pixel format = 8bit，n=1; else if pixel format = 10/12bit,  n=2;  else if pixel format = 10p/12p,  n=1.5;</t>
    </r>
    <r>
      <rPr>
        <sz val="11"/>
        <color rgb="FFFF0000"/>
        <rFont val="宋体"/>
        <charset val="134"/>
        <scheme val="minor"/>
      </rPr>
      <t>(gige vision 2.0 packed)</t>
    </r>
  </si>
  <si>
    <t>packet_length</t>
  </si>
  <si>
    <t>正常包包长寄存器,仅payload部分，不包括ip、udp、gvsp头</t>
  </si>
  <si>
    <t>dec2hex(GevSCPSPacketSize-header_in_payload)</t>
  </si>
  <si>
    <t>上层修改包长之后，固件需要设置该寄存器给FPGA，只能停采期间设置</t>
  </si>
  <si>
    <t>FPGA Binning/Skipping</t>
  </si>
  <si>
    <t>可以分开设置</t>
  </si>
  <si>
    <t>packet_gap</t>
  </si>
  <si>
    <t>包间隔寄存器</t>
  </si>
  <si>
    <t>dec2hex(host_packet_gap)</t>
  </si>
  <si>
    <t>上层设置的包间隔以byte为单位</t>
  </si>
  <si>
    <t>水平Binning</t>
  </si>
  <si>
    <t>DEC2HEX((tRow-Width/isp_ch_num*1000000/clk_pix))/(1000000/clk_pix))</t>
  </si>
  <si>
    <t>PGI功能需要使用的行消隐寄存器，行消隐固定为最大宽度时的值，当Vbmin较小时也适用</t>
  </si>
  <si>
    <t>垂直Binning</t>
  </si>
  <si>
    <t>sensor_width</t>
  </si>
  <si>
    <t>sensor实际输出的图像宽度寄存器（skip由sensor实现）</t>
  </si>
  <si>
    <t>0x01100874</t>
  </si>
  <si>
    <t>dec2hex(sensor_width_max)</t>
  </si>
  <si>
    <t>IMX990 skip前固定输出1392列，skip后固定输出696列</t>
  </si>
  <si>
    <t>sensor skipping</t>
  </si>
  <si>
    <t>fast_burst_mode</t>
  </si>
  <si>
    <t>高帧率burst模式寄存器</t>
  </si>
  <si>
    <t>0x01500288</t>
  </si>
  <si>
    <t>dec2hex(fast_burst_mode)</t>
  </si>
  <si>
    <t>高帧率burst模式寄存器
0:高帧率burst模式关闭，为标准模式，burst中间帧帧周期为连续模式帧周期
1:高帧率burst模式开启，为高速模式，burst中间帧帧周期为触发模式帧周期</t>
  </si>
  <si>
    <t>水平Skipping（sensor）</t>
  </si>
  <si>
    <t>Horizontal Skipping（sensor）</t>
  </si>
  <si>
    <t>垂直Skipping（sensor）</t>
  </si>
  <si>
    <t>Vertical Skipping（sensor）</t>
  </si>
  <si>
    <t>IF(ExposureTimeMode="Ultra Short",ROUNDUP(frame_size/eth_valid_bandwidth*10,0),ROUNDUP(1000*frame_size/eth_valid_bandwidth*10/tRow))</t>
  </si>
  <si>
    <t>eth_valid_bandwidth_max</t>
  </si>
  <si>
    <t>最大以太网有效传输带宽，预留带宽为0，针对突发采集模式高速模式使用。</t>
  </si>
  <si>
    <t>int(link_speed*(100)*10/100/8)</t>
  </si>
  <si>
    <t>backend_limit_period_time_min</t>
  </si>
  <si>
    <t>最小后端传输限制的帧周期，预留带宽为0，针对突发采集模式高速模式使用。</t>
  </si>
  <si>
    <t>MARS-32-96GM-P-TN-SWIR</t>
  </si>
  <si>
    <t>IMX991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</si>
</sst>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3">
    <font>
      <sz val="11"/>
      <color theme="1"/>
      <name val="宋体"/>
      <charset val="134"/>
      <scheme val="minor"/>
    </font>
    <font>
      <b/>
      <sz val="11"/>
      <color rgb="FFFFFF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FF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等线"/>
      <charset val="134"/>
    </font>
    <font>
      <sz val="11"/>
      <color rgb="FFFF0000"/>
      <name val="等线"/>
      <charset val="134"/>
    </font>
    <font>
      <b/>
      <sz val="11"/>
      <color theme="0"/>
      <name val="华文细黑"/>
      <charset val="134"/>
    </font>
    <font>
      <b/>
      <sz val="18"/>
      <color theme="0"/>
      <name val="华文细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theme="3" tint="0.59999389629810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731437116611"/>
        <bgColor indexed="64"/>
      </patternFill>
    </fill>
    <fill>
      <patternFill patternType="solid">
        <fgColor theme="8" tint="0.399700918607135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theme="8" tint="0.399731437116611"/>
        <bgColor indexed="64"/>
      </patternFill>
    </fill>
    <fill>
      <patternFill patternType="solid">
        <fgColor theme="7" tint="0.39973143711661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4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6" borderId="4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9" applyNumberFormat="0" applyFill="0" applyAlignment="0" applyProtection="0">
      <alignment vertical="center"/>
    </xf>
    <xf numFmtId="0" fontId="22" fillId="0" borderId="4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0" borderId="5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28" borderId="51" applyNumberFormat="0" applyAlignment="0" applyProtection="0">
      <alignment vertical="center"/>
    </xf>
    <xf numFmtId="0" fontId="24" fillId="28" borderId="47" applyNumberFormat="0" applyAlignment="0" applyProtection="0">
      <alignment vertical="center"/>
    </xf>
    <xf numFmtId="0" fontId="25" fillId="29" borderId="5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53" applyNumberFormat="0" applyFill="0" applyAlignment="0" applyProtection="0">
      <alignment vertical="center"/>
    </xf>
    <xf numFmtId="0" fontId="27" fillId="0" borderId="54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0" fillId="0" borderId="0"/>
    <xf numFmtId="0" fontId="11" fillId="4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1" fillId="46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53" applyFont="1" applyFill="1" applyBorder="1" applyAlignment="1" applyProtection="1">
      <alignment horizontal="left" vertical="center" wrapText="1"/>
    </xf>
    <xf numFmtId="0" fontId="1" fillId="2" borderId="1" xfId="53" applyFont="1" applyFill="1" applyBorder="1" applyAlignment="1" applyProtection="1">
      <alignment horizontal="left" vertical="center" wrapText="1"/>
      <protection locked="0"/>
    </xf>
    <xf numFmtId="0" fontId="1" fillId="2" borderId="1" xfId="51" applyFont="1" applyFill="1" applyBorder="1" applyProtection="1">
      <alignment vertical="center"/>
    </xf>
    <xf numFmtId="0" fontId="1" fillId="2" borderId="1" xfId="51" applyFont="1" applyFill="1" applyBorder="1" applyAlignment="1" applyProtection="1">
      <alignment horizontal="left" vertical="center"/>
    </xf>
    <xf numFmtId="0" fontId="1" fillId="2" borderId="1" xfId="51" applyFont="1" applyFill="1" applyBorder="1" applyAlignment="1" applyProtection="1">
      <alignment horizontal="left" vertical="center" wrapText="1"/>
      <protection locked="0"/>
    </xf>
    <xf numFmtId="0" fontId="2" fillId="0" borderId="0" xfId="0" applyFont="1">
      <alignment vertical="center"/>
    </xf>
    <xf numFmtId="0" fontId="1" fillId="2" borderId="1" xfId="51" applyFont="1" applyFill="1" applyBorder="1" applyAlignment="1" applyProtection="1">
      <alignment horizontal="left" vertical="center"/>
      <protection locked="0"/>
    </xf>
    <xf numFmtId="0" fontId="0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3" fillId="2" borderId="1" xfId="51" applyFont="1" applyFill="1" applyBorder="1" applyAlignment="1" applyProtection="1">
      <alignment horizontal="left" vertical="center" wrapText="1"/>
      <protection locked="0"/>
    </xf>
    <xf numFmtId="0" fontId="1" fillId="2" borderId="1" xfId="51" applyFont="1" applyFill="1" applyBorder="1" applyAlignment="1" applyProtection="1">
      <alignment horizontal="left" vertical="center" wrapText="1"/>
    </xf>
    <xf numFmtId="0" fontId="0" fillId="0" borderId="0" xfId="51">
      <alignment vertical="center"/>
    </xf>
    <xf numFmtId="0" fontId="4" fillId="2" borderId="1" xfId="53" applyFont="1" applyFill="1" applyBorder="1" applyAlignment="1" applyProtection="1">
      <alignment horizontal="left" vertical="center" wrapText="1"/>
    </xf>
    <xf numFmtId="176" fontId="4" fillId="2" borderId="1" xfId="51" applyNumberFormat="1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vertical="center" wrapText="1"/>
    </xf>
    <xf numFmtId="0" fontId="0" fillId="7" borderId="19" xfId="0" applyFill="1" applyBorder="1" applyAlignment="1">
      <alignment vertical="center" wrapText="1"/>
    </xf>
    <xf numFmtId="0" fontId="0" fillId="6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5" fillId="8" borderId="1" xfId="0" applyNumberFormat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10" borderId="19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10" borderId="20" xfId="0" applyFont="1" applyFill="1" applyBorder="1" applyAlignment="1">
      <alignment horizontal="left" vertical="center" wrapText="1"/>
    </xf>
    <xf numFmtId="0" fontId="5" fillId="8" borderId="1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50" applyFont="1" applyFill="1" applyBorder="1" applyAlignment="1" applyProtection="1">
      <alignment vertical="center"/>
    </xf>
    <xf numFmtId="0" fontId="5" fillId="11" borderId="11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0" fontId="5" fillId="11" borderId="20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 applyProtection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50" applyFont="1" applyFill="1" applyBorder="1" applyAlignment="1" applyProtection="1">
      <alignment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8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horizontal="left" vertical="center" wrapText="1"/>
    </xf>
    <xf numFmtId="0" fontId="7" fillId="10" borderId="25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5" fillId="10" borderId="21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0" fontId="5" fillId="14" borderId="9" xfId="0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5" fillId="14" borderId="9" xfId="0" applyNumberFormat="1" applyFont="1" applyFill="1" applyBorder="1" applyAlignment="1">
      <alignment horizontal="left" vertical="center" wrapText="1"/>
    </xf>
    <xf numFmtId="49" fontId="5" fillId="0" borderId="9" xfId="0" applyNumberFormat="1" applyFont="1" applyFill="1" applyBorder="1" applyAlignment="1">
      <alignment horizontal="left" vertical="center" wrapText="1"/>
    </xf>
    <xf numFmtId="0" fontId="2" fillId="8" borderId="1" xfId="0" applyNumberFormat="1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10" borderId="22" xfId="0" applyFont="1" applyFill="1" applyBorder="1" applyAlignment="1">
      <alignment horizontal="left" vertical="center" wrapText="1"/>
    </xf>
    <xf numFmtId="0" fontId="2" fillId="10" borderId="22" xfId="0" applyFont="1" applyFill="1" applyBorder="1" applyAlignment="1">
      <alignment horizontal="left" vertical="center" wrapText="1"/>
    </xf>
    <xf numFmtId="0" fontId="5" fillId="13" borderId="2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1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5" fillId="15" borderId="19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9" xfId="0" applyFont="1" applyFill="1" applyBorder="1" applyAlignment="1">
      <alignment horizontal="left" vertical="center" wrapText="1"/>
    </xf>
    <xf numFmtId="0" fontId="0" fillId="6" borderId="16" xfId="0" applyFont="1" applyFill="1" applyBorder="1" applyAlignment="1">
      <alignment horizontal="left" vertical="center" wrapText="1"/>
    </xf>
    <xf numFmtId="0" fontId="2" fillId="13" borderId="22" xfId="0" applyFont="1" applyFill="1" applyBorder="1" applyAlignment="1">
      <alignment horizontal="left" vertical="center" wrapText="1"/>
    </xf>
    <xf numFmtId="0" fontId="5" fillId="6" borderId="31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10" borderId="32" xfId="0" applyFont="1" applyFill="1" applyBorder="1" applyAlignment="1">
      <alignment horizontal="left" vertical="center" wrapText="1"/>
    </xf>
    <xf numFmtId="0" fontId="5" fillId="10" borderId="23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8" fillId="16" borderId="29" xfId="0" applyFont="1" applyFill="1" applyBorder="1" applyAlignment="1" applyProtection="1">
      <alignment horizontal="left" vertical="center"/>
    </xf>
    <xf numFmtId="0" fontId="8" fillId="16" borderId="16" xfId="0" applyFont="1" applyFill="1" applyBorder="1" applyAlignment="1" applyProtection="1">
      <alignment horizontal="left" vertical="center"/>
    </xf>
    <xf numFmtId="0" fontId="9" fillId="16" borderId="21" xfId="0" applyFont="1" applyFill="1" applyBorder="1" applyAlignment="1" applyProtection="1">
      <alignment vertical="center"/>
    </xf>
    <xf numFmtId="0" fontId="9" fillId="16" borderId="22" xfId="0" applyFont="1" applyFill="1" applyBorder="1" applyAlignment="1" applyProtection="1">
      <alignment horizontal="left" vertical="center"/>
    </xf>
    <xf numFmtId="0" fontId="5" fillId="9" borderId="22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left" vertical="center" wrapText="1"/>
    </xf>
    <xf numFmtId="0" fontId="0" fillId="10" borderId="19" xfId="0" applyFont="1" applyFill="1" applyBorder="1" applyAlignment="1">
      <alignment horizontal="left" vertical="center" wrapText="1"/>
    </xf>
    <xf numFmtId="0" fontId="0" fillId="9" borderId="22" xfId="0" applyFont="1" applyFill="1" applyBorder="1" applyAlignment="1">
      <alignment horizontal="left" vertical="center" wrapText="1"/>
    </xf>
    <xf numFmtId="0" fontId="0" fillId="10" borderId="23" xfId="0" applyFont="1" applyFill="1" applyBorder="1" applyAlignment="1">
      <alignment horizontal="left" vertical="center" wrapText="1"/>
    </xf>
    <xf numFmtId="0" fontId="8" fillId="16" borderId="26" xfId="0" applyFont="1" applyFill="1" applyBorder="1" applyAlignment="1" applyProtection="1">
      <alignment horizontal="left" vertical="center"/>
    </xf>
    <xf numFmtId="176" fontId="9" fillId="16" borderId="22" xfId="0" applyNumberFormat="1" applyFont="1" applyFill="1" applyBorder="1" applyAlignment="1" applyProtection="1">
      <alignment horizontal="left" vertical="center"/>
    </xf>
    <xf numFmtId="176" fontId="9" fillId="16" borderId="23" xfId="0" applyNumberFormat="1" applyFont="1" applyFill="1" applyBorder="1" applyAlignment="1" applyProtection="1">
      <alignment horizontal="left" vertical="center"/>
    </xf>
    <xf numFmtId="49" fontId="0" fillId="0" borderId="21" xfId="0" applyNumberFormat="1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8" borderId="16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0" fillId="13" borderId="22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0" fillId="8" borderId="22" xfId="0" applyFont="1" applyFill="1" applyBorder="1" applyAlignment="1">
      <alignment horizontal="left" vertical="center" wrapText="1"/>
    </xf>
    <xf numFmtId="0" fontId="2" fillId="15" borderId="23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0" fillId="0" borderId="0" xfId="52" applyAlignment="1">
      <alignment horizontal="left" vertical="center" wrapText="1"/>
    </xf>
    <xf numFmtId="0" fontId="2" fillId="0" borderId="0" xfId="52" applyFont="1" applyAlignment="1">
      <alignment horizontal="left" vertical="center"/>
    </xf>
    <xf numFmtId="0" fontId="4" fillId="2" borderId="1" xfId="51" applyFont="1" applyFill="1" applyBorder="1" applyAlignment="1" applyProtection="1">
      <alignment horizontal="left" vertical="center" wrapText="1"/>
    </xf>
    <xf numFmtId="0" fontId="0" fillId="0" borderId="0" xfId="52"/>
    <xf numFmtId="0" fontId="3" fillId="3" borderId="2" xfId="51" applyFont="1" applyFill="1" applyBorder="1" applyAlignment="1">
      <alignment vertical="center" wrapText="1"/>
    </xf>
    <xf numFmtId="0" fontId="3" fillId="4" borderId="2" xfId="51" applyFont="1" applyFill="1" applyBorder="1" applyAlignment="1">
      <alignment horizontal="left" vertical="center" wrapText="1"/>
    </xf>
    <xf numFmtId="0" fontId="0" fillId="0" borderId="0" xfId="51" applyAlignment="1">
      <alignment wrapText="1"/>
    </xf>
    <xf numFmtId="0" fontId="3" fillId="17" borderId="17" xfId="51" applyFont="1" applyFill="1" applyBorder="1" applyAlignment="1">
      <alignment horizontal="center" vertical="center" wrapText="1"/>
    </xf>
    <xf numFmtId="0" fontId="3" fillId="17" borderId="6" xfId="51" applyFont="1" applyFill="1" applyBorder="1" applyAlignment="1">
      <alignment horizontal="center" vertical="center" wrapText="1"/>
    </xf>
    <xf numFmtId="0" fontId="3" fillId="17" borderId="18" xfId="51" applyFont="1" applyFill="1" applyBorder="1" applyAlignment="1">
      <alignment horizontal="center" vertical="center" wrapText="1"/>
    </xf>
    <xf numFmtId="0" fontId="0" fillId="18" borderId="9" xfId="51" applyFont="1" applyFill="1" applyBorder="1" applyAlignment="1">
      <alignment horizontal="left" vertical="center" wrapText="1"/>
    </xf>
    <xf numFmtId="0" fontId="0" fillId="18" borderId="1" xfId="51" applyFont="1" applyFill="1" applyBorder="1" applyAlignment="1">
      <alignment horizontal="left" vertical="center" wrapText="1"/>
    </xf>
    <xf numFmtId="0" fontId="0" fillId="18" borderId="19" xfId="51" applyFont="1" applyFill="1" applyBorder="1" applyAlignment="1">
      <alignment horizontal="left" vertical="center" wrapText="1"/>
    </xf>
    <xf numFmtId="0" fontId="5" fillId="2" borderId="9" xfId="51" applyFont="1" applyFill="1" applyBorder="1" applyAlignment="1">
      <alignment horizontal="center" vertical="center" wrapText="1"/>
    </xf>
    <xf numFmtId="0" fontId="5" fillId="2" borderId="1" xfId="51" applyFont="1" applyFill="1" applyBorder="1" applyAlignment="1">
      <alignment horizontal="center" vertical="center" wrapText="1"/>
    </xf>
    <xf numFmtId="0" fontId="5" fillId="2" borderId="19" xfId="51" applyFont="1" applyFill="1" applyBorder="1" applyAlignment="1">
      <alignment horizontal="center" vertical="center" wrapText="1"/>
    </xf>
    <xf numFmtId="0" fontId="0" fillId="0" borderId="9" xfId="51" applyBorder="1" applyAlignment="1">
      <alignment horizontal="left" vertical="center" wrapText="1"/>
    </xf>
    <xf numFmtId="0" fontId="0" fillId="0" borderId="1" xfId="51" applyBorder="1" applyAlignment="1">
      <alignment horizontal="left" vertical="center" wrapText="1"/>
    </xf>
    <xf numFmtId="0" fontId="0" fillId="19" borderId="1" xfId="51" applyFill="1" applyBorder="1" applyAlignment="1">
      <alignment horizontal="left" vertical="center" wrapText="1"/>
    </xf>
    <xf numFmtId="0" fontId="0" fillId="10" borderId="19" xfId="51" applyFill="1" applyBorder="1" applyAlignment="1">
      <alignment horizontal="left" vertical="center" wrapText="1"/>
    </xf>
    <xf numFmtId="0" fontId="5" fillId="10" borderId="19" xfId="51" applyFont="1" applyFill="1" applyBorder="1" applyAlignment="1">
      <alignment horizontal="left" vertical="center" wrapText="1"/>
    </xf>
    <xf numFmtId="0" fontId="5" fillId="0" borderId="9" xfId="51" applyFont="1" applyBorder="1" applyAlignment="1">
      <alignment horizontal="left" vertical="center" wrapText="1"/>
    </xf>
    <xf numFmtId="0" fontId="5" fillId="0" borderId="1" xfId="51" applyFont="1" applyBorder="1" applyAlignment="1">
      <alignment horizontal="left" vertical="center" wrapText="1"/>
    </xf>
    <xf numFmtId="0" fontId="5" fillId="19" borderId="1" xfId="51" applyFont="1" applyFill="1" applyBorder="1" applyAlignment="1">
      <alignment horizontal="left" vertical="center" wrapText="1"/>
    </xf>
    <xf numFmtId="0" fontId="5" fillId="0" borderId="1" xfId="51" applyFont="1" applyBorder="1" applyAlignment="1">
      <alignment horizontal="left" vertical="center"/>
    </xf>
    <xf numFmtId="0" fontId="0" fillId="0" borderId="0" xfId="51" applyAlignment="1"/>
    <xf numFmtId="0" fontId="0" fillId="0" borderId="35" xfId="51" applyBorder="1" applyAlignment="1">
      <alignment horizontal="left" vertical="center" wrapText="1"/>
    </xf>
    <xf numFmtId="0" fontId="0" fillId="0" borderId="36" xfId="51" applyFill="1" applyBorder="1" applyAlignment="1">
      <alignment horizontal="left" vertical="center" wrapText="1"/>
    </xf>
    <xf numFmtId="0" fontId="0" fillId="0" borderId="36" xfId="51" applyBorder="1" applyAlignment="1">
      <alignment horizontal="left" vertical="center" wrapText="1"/>
    </xf>
    <xf numFmtId="0" fontId="0" fillId="19" borderId="36" xfId="51" applyFill="1" applyBorder="1" applyAlignment="1">
      <alignment horizontal="left" vertical="center" wrapText="1"/>
    </xf>
    <xf numFmtId="0" fontId="0" fillId="10" borderId="37" xfId="51" applyFill="1" applyBorder="1" applyAlignment="1">
      <alignment horizontal="left" vertical="center" wrapText="1"/>
    </xf>
    <xf numFmtId="0" fontId="0" fillId="0" borderId="0" xfId="51" applyFill="1" applyAlignment="1"/>
    <xf numFmtId="0" fontId="0" fillId="0" borderId="1" xfId="51" applyFill="1" applyBorder="1" applyAlignment="1">
      <alignment horizontal="left" vertical="center" wrapText="1"/>
    </xf>
    <xf numFmtId="0" fontId="0" fillId="0" borderId="0" xfId="51" applyFont="1">
      <alignment vertical="center"/>
    </xf>
    <xf numFmtId="0" fontId="0" fillId="0" borderId="0" xfId="51" applyAlignment="1">
      <alignment horizontal="left" vertical="center" wrapText="1"/>
    </xf>
    <xf numFmtId="0" fontId="0" fillId="18" borderId="9" xfId="51" applyFont="1" applyFill="1" applyBorder="1" applyAlignment="1">
      <alignment vertical="center" wrapText="1"/>
    </xf>
    <xf numFmtId="0" fontId="0" fillId="18" borderId="1" xfId="51" applyFont="1" applyFill="1" applyBorder="1" applyAlignment="1">
      <alignment vertical="center" wrapText="1"/>
    </xf>
    <xf numFmtId="0" fontId="0" fillId="20" borderId="19" xfId="51" applyFill="1" applyBorder="1" applyAlignment="1">
      <alignment vertical="center" wrapText="1"/>
    </xf>
    <xf numFmtId="0" fontId="0" fillId="0" borderId="9" xfId="5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21" borderId="1" xfId="51" applyFont="1" applyFill="1" applyBorder="1" applyAlignment="1">
      <alignment horizontal="left" vertical="center" wrapText="1"/>
    </xf>
    <xf numFmtId="2" fontId="5" fillId="21" borderId="1" xfId="51" applyNumberFormat="1" applyFont="1" applyFill="1" applyBorder="1" applyAlignment="1">
      <alignment horizontal="left" vertical="center" wrapText="1"/>
    </xf>
    <xf numFmtId="0" fontId="0" fillId="0" borderId="19" xfId="51" applyBorder="1" applyAlignment="1">
      <alignment horizontal="left" vertical="center"/>
    </xf>
    <xf numFmtId="0" fontId="0" fillId="21" borderId="1" xfId="51" applyFill="1" applyBorder="1" applyAlignment="1">
      <alignment horizontal="left" vertical="center" wrapText="1"/>
    </xf>
    <xf numFmtId="0" fontId="0" fillId="0" borderId="19" xfId="51" applyBorder="1" applyAlignment="1">
      <alignment horizontal="left" vertical="center" wrapText="1"/>
    </xf>
    <xf numFmtId="0" fontId="5" fillId="0" borderId="19" xfId="51" applyFont="1" applyBorder="1" applyAlignment="1">
      <alignment horizontal="left" vertical="center"/>
    </xf>
    <xf numFmtId="0" fontId="5" fillId="21" borderId="1" xfId="51" applyNumberFormat="1" applyFont="1" applyFill="1" applyBorder="1" applyAlignment="1">
      <alignment horizontal="left" vertical="center" wrapText="1"/>
    </xf>
    <xf numFmtId="0" fontId="5" fillId="0" borderId="19" xfId="51" applyFont="1" applyBorder="1" applyAlignment="1">
      <alignment horizontal="left" vertical="center" wrapText="1"/>
    </xf>
    <xf numFmtId="0" fontId="5" fillId="0" borderId="9" xfId="51" applyFont="1" applyBorder="1" applyAlignment="1">
      <alignment vertical="center" wrapText="1"/>
    </xf>
    <xf numFmtId="0" fontId="5" fillId="0" borderId="1" xfId="44" applyFont="1" applyFill="1" applyBorder="1" applyAlignment="1" applyProtection="1">
      <alignment vertical="center"/>
    </xf>
    <xf numFmtId="0" fontId="5" fillId="0" borderId="1" xfId="44" applyFont="1" applyFill="1" applyBorder="1" applyAlignment="1" applyProtection="1">
      <alignment vertical="center" wrapText="1"/>
    </xf>
    <xf numFmtId="0" fontId="5" fillId="0" borderId="21" xfId="51" applyFont="1" applyBorder="1" applyAlignment="1">
      <alignment vertical="center" wrapText="1"/>
    </xf>
    <xf numFmtId="0" fontId="5" fillId="0" borderId="22" xfId="44" applyFont="1" applyFill="1" applyBorder="1" applyAlignment="1" applyProtection="1">
      <alignment vertical="center" wrapText="1"/>
    </xf>
    <xf numFmtId="0" fontId="5" fillId="0" borderId="22" xfId="51" applyFont="1" applyBorder="1" applyAlignment="1">
      <alignment horizontal="left" vertical="center" wrapText="1"/>
    </xf>
    <xf numFmtId="0" fontId="5" fillId="21" borderId="22" xfId="51" applyFont="1" applyFill="1" applyBorder="1" applyAlignment="1">
      <alignment horizontal="left" vertical="center" wrapText="1"/>
    </xf>
    <xf numFmtId="0" fontId="5" fillId="0" borderId="23" xfId="51" applyFont="1" applyBorder="1" applyAlignment="1">
      <alignment horizontal="left" vertical="center" wrapText="1"/>
    </xf>
    <xf numFmtId="0" fontId="3" fillId="17" borderId="12" xfId="51" applyFont="1" applyFill="1" applyBorder="1" applyAlignment="1">
      <alignment horizontal="center" vertical="center" wrapText="1"/>
    </xf>
    <xf numFmtId="0" fontId="3" fillId="17" borderId="13" xfId="51" applyFont="1" applyFill="1" applyBorder="1" applyAlignment="1">
      <alignment horizontal="center" vertical="center" wrapText="1"/>
    </xf>
    <xf numFmtId="0" fontId="2" fillId="18" borderId="29" xfId="51" applyFont="1" applyFill="1" applyBorder="1" applyAlignment="1">
      <alignment horizontal="left" vertical="center" wrapText="1"/>
    </xf>
    <xf numFmtId="0" fontId="2" fillId="18" borderId="16" xfId="51" applyFont="1" applyFill="1" applyBorder="1" applyAlignment="1">
      <alignment horizontal="left" vertical="center" wrapText="1"/>
    </xf>
    <xf numFmtId="0" fontId="0" fillId="20" borderId="19" xfId="51" applyFill="1" applyBorder="1" applyAlignment="1">
      <alignment horizontal="left" vertical="center" wrapText="1"/>
    </xf>
    <xf numFmtId="0" fontId="2" fillId="0" borderId="21" xfId="51" applyFont="1" applyBorder="1" applyAlignment="1">
      <alignment horizontal="left" vertical="center" wrapText="1"/>
    </xf>
    <xf numFmtId="0" fontId="2" fillId="0" borderId="22" xfId="51" applyFont="1" applyBorder="1" applyAlignment="1">
      <alignment horizontal="left" vertical="center" wrapText="1"/>
    </xf>
    <xf numFmtId="0" fontId="2" fillId="0" borderId="0" xfId="51" applyFont="1" applyBorder="1" applyAlignment="1">
      <alignment horizontal="left" vertical="center" wrapText="1"/>
    </xf>
    <xf numFmtId="0" fontId="0" fillId="0" borderId="0" xfId="51" applyFont="1" applyFill="1" applyBorder="1" applyAlignment="1">
      <alignment horizontal="left" vertical="center" wrapText="1"/>
    </xf>
    <xf numFmtId="0" fontId="0" fillId="0" borderId="19" xfId="51" applyFill="1" applyBorder="1" applyAlignment="1">
      <alignment horizontal="left" vertical="center" wrapText="1"/>
    </xf>
    <xf numFmtId="0" fontId="0" fillId="0" borderId="0" xfId="51" applyFill="1" applyBorder="1" applyAlignment="1">
      <alignment horizontal="left" vertical="center" wrapText="1"/>
    </xf>
    <xf numFmtId="0" fontId="0" fillId="0" borderId="0" xfId="51" applyBorder="1" applyAlignment="1">
      <alignment horizontal="left" vertical="center" wrapText="1"/>
    </xf>
    <xf numFmtId="0" fontId="5" fillId="2" borderId="38" xfId="51" applyFont="1" applyFill="1" applyBorder="1" applyAlignment="1">
      <alignment horizontal="center" vertical="center" wrapText="1"/>
    </xf>
    <xf numFmtId="0" fontId="5" fillId="2" borderId="39" xfId="51" applyFont="1" applyFill="1" applyBorder="1" applyAlignment="1">
      <alignment horizontal="center" vertical="center" wrapText="1"/>
    </xf>
    <xf numFmtId="49" fontId="0" fillId="0" borderId="9" xfId="51" applyNumberFormat="1" applyFill="1" applyBorder="1" applyAlignment="1">
      <alignment horizontal="left" vertical="center" wrapText="1"/>
    </xf>
    <xf numFmtId="49" fontId="0" fillId="0" borderId="1" xfId="51" applyNumberFormat="1" applyFill="1" applyBorder="1" applyAlignment="1">
      <alignment horizontal="left" vertical="center" wrapText="1"/>
    </xf>
    <xf numFmtId="49" fontId="0" fillId="0" borderId="35" xfId="51" applyNumberFormat="1" applyFill="1" applyBorder="1" applyAlignment="1">
      <alignment vertical="center" wrapText="1"/>
    </xf>
    <xf numFmtId="49" fontId="5" fillId="0" borderId="9" xfId="51" applyNumberFormat="1" applyFont="1" applyFill="1" applyBorder="1" applyAlignment="1">
      <alignment horizontal="left" vertical="center" wrapText="1"/>
    </xf>
    <xf numFmtId="0" fontId="2" fillId="10" borderId="22" xfId="51" applyFont="1" applyFill="1" applyBorder="1" applyAlignment="1">
      <alignment horizontal="left" vertical="center" wrapText="1"/>
    </xf>
    <xf numFmtId="0" fontId="2" fillId="10" borderId="0" xfId="51" applyFont="1" applyFill="1" applyBorder="1" applyAlignment="1">
      <alignment horizontal="left" vertical="center" wrapText="1"/>
    </xf>
    <xf numFmtId="0" fontId="0" fillId="0" borderId="0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left" vertical="center" wrapText="1"/>
    </xf>
    <xf numFmtId="0" fontId="5" fillId="0" borderId="0" xfId="51" applyFont="1" applyBorder="1" applyAlignment="1">
      <alignment horizontal="left" vertical="center" wrapText="1"/>
    </xf>
    <xf numFmtId="0" fontId="5" fillId="2" borderId="40" xfId="51" applyFont="1" applyFill="1" applyBorder="1" applyAlignment="1">
      <alignment horizontal="center" vertical="center" wrapText="1"/>
    </xf>
    <xf numFmtId="0" fontId="5" fillId="0" borderId="37" xfId="51" applyFont="1" applyBorder="1" applyAlignment="1">
      <alignment vertical="center" wrapText="1"/>
    </xf>
    <xf numFmtId="0" fontId="2" fillId="18" borderId="41" xfId="51" applyFont="1" applyFill="1" applyBorder="1" applyAlignment="1">
      <alignment horizontal="left" vertical="center" wrapText="1"/>
    </xf>
    <xf numFmtId="0" fontId="2" fillId="0" borderId="22" xfId="51" applyFont="1" applyBorder="1" applyAlignment="1">
      <alignment horizontal="left" vertical="center"/>
    </xf>
    <xf numFmtId="0" fontId="2" fillId="0" borderId="42" xfId="51" applyFont="1" applyBorder="1" applyAlignment="1">
      <alignment horizontal="left" vertical="center" wrapText="1"/>
    </xf>
    <xf numFmtId="0" fontId="2" fillId="0" borderId="0" xfId="51" applyFont="1" applyBorder="1" applyAlignment="1">
      <alignment horizontal="left" vertical="center"/>
    </xf>
    <xf numFmtId="0" fontId="3" fillId="17" borderId="24" xfId="51" applyFont="1" applyFill="1" applyBorder="1" applyAlignment="1">
      <alignment horizontal="center" vertical="center" wrapText="1"/>
    </xf>
    <xf numFmtId="0" fontId="2" fillId="18" borderId="18" xfId="51" applyFont="1" applyFill="1" applyBorder="1" applyAlignment="1">
      <alignment horizontal="left" vertical="center" wrapText="1"/>
    </xf>
    <xf numFmtId="0" fontId="2" fillId="0" borderId="23" xfId="51" applyFont="1" applyBorder="1" applyAlignment="1">
      <alignment horizontal="left" vertical="center" wrapText="1"/>
    </xf>
    <xf numFmtId="0" fontId="0" fillId="0" borderId="21" xfId="51" applyBorder="1" applyAlignment="1">
      <alignment horizontal="left" vertical="center" wrapText="1"/>
    </xf>
    <xf numFmtId="0" fontId="0" fillId="0" borderId="22" xfId="51" applyFill="1" applyBorder="1" applyAlignment="1">
      <alignment horizontal="left" vertical="center" wrapText="1"/>
    </xf>
    <xf numFmtId="0" fontId="0" fillId="0" borderId="22" xfId="51" applyBorder="1" applyAlignment="1">
      <alignment horizontal="left" vertical="center" wrapText="1"/>
    </xf>
    <xf numFmtId="0" fontId="0" fillId="10" borderId="23" xfId="51" applyFill="1" applyBorder="1" applyAlignment="1">
      <alignment horizontal="left" vertical="center" wrapText="1"/>
    </xf>
    <xf numFmtId="0" fontId="8" fillId="16" borderId="17" xfId="51" applyFont="1" applyFill="1" applyBorder="1" applyAlignment="1" applyProtection="1">
      <alignment horizontal="left" vertical="center"/>
    </xf>
    <xf numFmtId="0" fontId="8" fillId="16" borderId="6" xfId="51" applyFont="1" applyFill="1" applyBorder="1" applyAlignment="1" applyProtection="1">
      <alignment horizontal="left" vertical="center"/>
    </xf>
    <xf numFmtId="0" fontId="8" fillId="16" borderId="18" xfId="51" applyFont="1" applyFill="1" applyBorder="1" applyAlignment="1" applyProtection="1">
      <alignment horizontal="left" vertical="center"/>
    </xf>
    <xf numFmtId="0" fontId="9" fillId="16" borderId="21" xfId="51" applyFont="1" applyFill="1" applyBorder="1" applyAlignment="1" applyProtection="1">
      <alignment vertical="center"/>
    </xf>
    <xf numFmtId="0" fontId="9" fillId="16" borderId="22" xfId="51" applyFont="1" applyFill="1" applyBorder="1" applyAlignment="1" applyProtection="1">
      <alignment horizontal="left" vertical="center"/>
    </xf>
    <xf numFmtId="176" fontId="9" fillId="16" borderId="22" xfId="51" applyNumberFormat="1" applyFont="1" applyFill="1" applyBorder="1" applyAlignment="1" applyProtection="1">
      <alignment horizontal="left" vertical="center"/>
    </xf>
    <xf numFmtId="176" fontId="9" fillId="16" borderId="23" xfId="51" applyNumberFormat="1" applyFont="1" applyFill="1" applyBorder="1" applyAlignment="1" applyProtection="1">
      <alignment horizontal="left" vertical="center"/>
    </xf>
    <xf numFmtId="0" fontId="5" fillId="0" borderId="9" xfId="51" applyFont="1" applyFill="1" applyBorder="1" applyAlignment="1">
      <alignment horizontal="left" vertical="center" wrapText="1"/>
    </xf>
    <xf numFmtId="0" fontId="5" fillId="0" borderId="21" xfId="51" applyFont="1" applyFill="1" applyBorder="1" applyAlignment="1">
      <alignment horizontal="left" vertical="center" wrapText="1"/>
    </xf>
    <xf numFmtId="49" fontId="0" fillId="0" borderId="21" xfId="51" applyNumberFormat="1" applyFill="1" applyBorder="1" applyAlignment="1">
      <alignment horizontal="left" vertical="center" wrapText="1"/>
    </xf>
    <xf numFmtId="49" fontId="0" fillId="0" borderId="22" xfId="51" applyNumberFormat="1" applyFill="1" applyBorder="1" applyAlignment="1">
      <alignment horizontal="left" vertical="center" wrapText="1"/>
    </xf>
    <xf numFmtId="0" fontId="0" fillId="21" borderId="1" xfId="51" applyNumberFormat="1" applyFill="1" applyBorder="1" applyAlignment="1">
      <alignment horizontal="left" vertical="center" wrapText="1"/>
    </xf>
    <xf numFmtId="0" fontId="0" fillId="21" borderId="1" xfId="51" applyFill="1" applyBorder="1" applyAlignment="1">
      <alignment horizontal="left" vertical="center"/>
    </xf>
    <xf numFmtId="0" fontId="5" fillId="21" borderId="1" xfId="51" applyFont="1" applyFill="1" applyBorder="1" applyAlignment="1">
      <alignment horizontal="left" vertical="center"/>
    </xf>
    <xf numFmtId="0" fontId="5" fillId="0" borderId="19" xfId="51" applyFont="1" applyFill="1" applyBorder="1" applyAlignment="1">
      <alignment horizontal="left" vertical="center" wrapText="1"/>
    </xf>
    <xf numFmtId="0" fontId="5" fillId="10" borderId="23" xfId="51" applyFont="1" applyFill="1" applyBorder="1" applyAlignment="1">
      <alignment horizontal="left" vertical="center" wrapText="1"/>
    </xf>
    <xf numFmtId="0" fontId="1" fillId="2" borderId="1" xfId="0" applyFont="1" applyFill="1" applyBorder="1" applyProtection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</xf>
    <xf numFmtId="0" fontId="0" fillId="2" borderId="1" xfId="0" applyFill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10" fillId="0" borderId="0" xfId="0" applyFont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176" fontId="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0" fillId="9" borderId="19" xfId="0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9" borderId="20" xfId="0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9" borderId="23" xfId="0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50" applyFont="1" applyFill="1" applyBorder="1" applyAlignment="1" applyProtection="1">
      <alignment vertical="center"/>
    </xf>
    <xf numFmtId="0" fontId="2" fillId="0" borderId="21" xfId="0" applyFont="1" applyBorder="1" applyAlignment="1">
      <alignment vertical="center" wrapText="1"/>
    </xf>
    <xf numFmtId="0" fontId="2" fillId="0" borderId="22" xfId="50" applyFont="1" applyFill="1" applyBorder="1" applyAlignment="1" applyProtection="1">
      <alignment vertical="center"/>
    </xf>
    <xf numFmtId="0" fontId="2" fillId="0" borderId="2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3" xfId="0" applyFont="1" applyBorder="1" applyAlignment="1">
      <alignment vertical="center" wrapText="1"/>
    </xf>
    <xf numFmtId="0" fontId="2" fillId="0" borderId="44" xfId="0" applyFont="1" applyBorder="1" applyAlignment="1">
      <alignment horizontal="left" vertical="center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0" fillId="7" borderId="19" xfId="0" applyFill="1" applyBorder="1" applyAlignment="1">
      <alignment wrapText="1"/>
    </xf>
    <xf numFmtId="177" fontId="0" fillId="8" borderId="1" xfId="0" applyNumberForma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8" borderId="1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177" fontId="2" fillId="8" borderId="1" xfId="0" applyNumberFormat="1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8" borderId="1" xfId="0" applyNumberFormat="1" applyFill="1" applyBorder="1" applyAlignment="1">
      <alignment horizontal="left" vertical="center" wrapText="1"/>
    </xf>
    <xf numFmtId="0" fontId="2" fillId="8" borderId="22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vertical="center" wrapText="1"/>
    </xf>
    <xf numFmtId="49" fontId="0" fillId="0" borderId="16" xfId="0" applyNumberFormat="1" applyFont="1" applyFill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49" fontId="0" fillId="0" borderId="36" xfId="0" applyNumberFormat="1" applyFont="1" applyFill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" fillId="8" borderId="19" xfId="0" applyFont="1" applyFill="1" applyBorder="1" applyAlignment="1">
      <alignment horizontal="left" vertical="center" wrapText="1"/>
    </xf>
    <xf numFmtId="0" fontId="2" fillId="8" borderId="19" xfId="0" applyNumberFormat="1" applyFont="1" applyFill="1" applyBorder="1" applyAlignment="1">
      <alignment horizontal="left" vertical="center" wrapText="1"/>
    </xf>
    <xf numFmtId="49" fontId="0" fillId="0" borderId="21" xfId="0" applyNumberFormat="1" applyFill="1" applyBorder="1" applyAlignment="1">
      <alignment horizontal="left" vertical="center" wrapText="1"/>
    </xf>
    <xf numFmtId="0" fontId="0" fillId="8" borderId="23" xfId="0" applyNumberForma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0" fillId="10" borderId="1" xfId="0" applyFill="1" applyBorder="1">
      <alignment vertical="center"/>
    </xf>
    <xf numFmtId="14" fontId="0" fillId="0" borderId="1" xfId="0" applyNumberFormat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_Sheet1" xfId="53"/>
  </cellStyles>
  <dxfs count="8"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6" Type="http://schemas.openxmlformats.org/officeDocument/2006/relationships/worksheet" Target="worksheets/sheet6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>
      <xdr:nvSpPr>
        <xdr:cNvPr id="3" name="文本框 2"/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>
      <xdr:nvSpPr>
        <xdr:cNvPr id="4" name="文本框 3"/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>
      <xdr:nvSpPr>
        <xdr:cNvPr id="2" name="文本框 1"/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>
      <xdr:nvSpPr>
        <xdr:cNvPr id="3" name="文本框 2"/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19</xdr:col>
      <xdr:colOff>358027</xdr:colOff>
      <xdr:row>53</xdr:row>
      <xdr:rowOff>493059</xdr:rowOff>
    </xdr:from>
    <xdr:to>
      <xdr:col>27</xdr:col>
      <xdr:colOff>11206</xdr:colOff>
      <xdr:row>56</xdr:row>
      <xdr:rowOff>582706</xdr:rowOff>
    </xdr:to>
    <xdr:sp>
      <xdr:nvSpPr>
        <xdr:cNvPr id="2" name="文本框 1"/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358027</xdr:colOff>
      <xdr:row>42</xdr:row>
      <xdr:rowOff>493059</xdr:rowOff>
    </xdr:from>
    <xdr:to>
      <xdr:col>29</xdr:col>
      <xdr:colOff>11206</xdr:colOff>
      <xdr:row>45</xdr:row>
      <xdr:rowOff>582706</xdr:rowOff>
    </xdr:to>
    <xdr:sp>
      <xdr:nvSpPr>
        <xdr:cNvPr id="2" name="文本框 1"/>
        <xdr:cNvSpPr txBox="1"/>
      </xdr:nvSpPr>
      <xdr:spPr>
        <a:xfrm>
          <a:off x="7248525" y="31068010"/>
          <a:ext cx="0" cy="38030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358027</xdr:colOff>
      <xdr:row>42</xdr:row>
      <xdr:rowOff>493059</xdr:rowOff>
    </xdr:from>
    <xdr:to>
      <xdr:col>30</xdr:col>
      <xdr:colOff>11206</xdr:colOff>
      <xdr:row>45</xdr:row>
      <xdr:rowOff>582706</xdr:rowOff>
    </xdr:to>
    <xdr:sp>
      <xdr:nvSpPr>
        <xdr:cNvPr id="3" name="文本框 2"/>
        <xdr:cNvSpPr txBox="1"/>
      </xdr:nvSpPr>
      <xdr:spPr>
        <a:xfrm>
          <a:off x="7248525" y="31068010"/>
          <a:ext cx="0" cy="38030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22</xdr:col>
      <xdr:colOff>358027</xdr:colOff>
      <xdr:row>42</xdr:row>
      <xdr:rowOff>493059</xdr:rowOff>
    </xdr:from>
    <xdr:to>
      <xdr:col>30</xdr:col>
      <xdr:colOff>11206</xdr:colOff>
      <xdr:row>45</xdr:row>
      <xdr:rowOff>582706</xdr:rowOff>
    </xdr:to>
    <xdr:sp>
      <xdr:nvSpPr>
        <xdr:cNvPr id="2" name="文本框 1"/>
        <xdr:cNvSpPr txBox="1"/>
      </xdr:nvSpPr>
      <xdr:spPr>
        <a:xfrm>
          <a:off x="6169660" y="14103985"/>
          <a:ext cx="0" cy="18040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  <a:endParaRPr lang="en-US" altLang="zh-CN" sz="1100"/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C26"/>
  <sheetViews>
    <sheetView topLeftCell="A8" workbookViewId="0">
      <selection activeCell="B14" sqref="B14"/>
    </sheetView>
  </sheetViews>
  <sheetFormatPr defaultColWidth="9" defaultRowHeight="13.5" outlineLevelCol="2"/>
  <cols>
    <col min="1" max="1" width="11.875" customWidth="1"/>
    <col min="2" max="2" width="37.125" customWidth="1"/>
    <col min="3" max="3" width="13.625" customWidth="1"/>
  </cols>
  <sheetData>
    <row r="1" ht="21" customHeight="1" spans="1:3">
      <c r="A1" s="334" t="s">
        <v>0</v>
      </c>
      <c r="B1" s="334" t="s">
        <v>1</v>
      </c>
      <c r="C1" s="334" t="s">
        <v>2</v>
      </c>
    </row>
    <row r="2" ht="33.75" customHeight="1" spans="1:3">
      <c r="A2" s="270" t="s">
        <v>3</v>
      </c>
      <c r="B2" s="270" t="s">
        <v>4</v>
      </c>
      <c r="C2" s="335">
        <v>43203</v>
      </c>
    </row>
    <row r="3" ht="37.5" customHeight="1" spans="1:3">
      <c r="A3" s="270" t="s">
        <v>5</v>
      </c>
      <c r="B3" s="270" t="s">
        <v>6</v>
      </c>
      <c r="C3" s="335">
        <v>43210</v>
      </c>
    </row>
    <row r="4" ht="36" customHeight="1" spans="1:3">
      <c r="A4" s="270" t="s">
        <v>7</v>
      </c>
      <c r="B4" s="270" t="s">
        <v>8</v>
      </c>
      <c r="C4" s="335">
        <v>43213</v>
      </c>
    </row>
    <row r="5" ht="39" customHeight="1" spans="1:3">
      <c r="A5" s="270" t="s">
        <v>9</v>
      </c>
      <c r="B5" s="270" t="s">
        <v>10</v>
      </c>
      <c r="C5" s="335">
        <v>43215</v>
      </c>
    </row>
    <row r="6" ht="35.25" customHeight="1" spans="1:3">
      <c r="A6" s="270" t="s">
        <v>11</v>
      </c>
      <c r="B6" s="270" t="s">
        <v>12</v>
      </c>
      <c r="C6" s="335">
        <v>43227</v>
      </c>
    </row>
    <row r="7" ht="33" customHeight="1" spans="1:3">
      <c r="A7" s="270" t="s">
        <v>13</v>
      </c>
      <c r="B7" s="270" t="s">
        <v>14</v>
      </c>
      <c r="C7" s="335">
        <v>43228</v>
      </c>
    </row>
    <row r="8" ht="30" customHeight="1" spans="1:3">
      <c r="A8" s="270" t="s">
        <v>15</v>
      </c>
      <c r="B8" s="270" t="s">
        <v>16</v>
      </c>
      <c r="C8" s="335">
        <v>43595</v>
      </c>
    </row>
    <row r="9" ht="31.5" customHeight="1" spans="1:3">
      <c r="A9" s="270" t="s">
        <v>17</v>
      </c>
      <c r="B9" s="270" t="s">
        <v>18</v>
      </c>
      <c r="C9" s="335">
        <v>43602</v>
      </c>
    </row>
    <row r="10" ht="31.5" customHeight="1" spans="1:3">
      <c r="A10" s="270" t="s">
        <v>19</v>
      </c>
      <c r="B10" s="270" t="s">
        <v>20</v>
      </c>
      <c r="C10" s="335">
        <v>43607</v>
      </c>
    </row>
    <row r="11" ht="33.75" customHeight="1" spans="1:3">
      <c r="A11" s="270" t="s">
        <v>21</v>
      </c>
      <c r="B11" s="270" t="s">
        <v>22</v>
      </c>
      <c r="C11" s="335">
        <v>44769</v>
      </c>
    </row>
    <row r="12" ht="30" customHeight="1" spans="1:3">
      <c r="A12" s="270" t="s">
        <v>23</v>
      </c>
      <c r="B12" s="270" t="s">
        <v>24</v>
      </c>
      <c r="C12" s="335">
        <v>44843</v>
      </c>
    </row>
    <row r="13" ht="30.75" customHeight="1" spans="1:3">
      <c r="A13" s="270" t="s">
        <v>25</v>
      </c>
      <c r="B13" s="270" t="s">
        <v>26</v>
      </c>
      <c r="C13" s="335">
        <v>45268</v>
      </c>
    </row>
    <row r="14" ht="30.75" customHeight="1" spans="1:3">
      <c r="A14" s="270" t="s">
        <v>27</v>
      </c>
      <c r="B14" s="270" t="s">
        <v>28</v>
      </c>
      <c r="C14" s="335">
        <v>45327</v>
      </c>
    </row>
    <row r="15" spans="2:2">
      <c r="B15" s="293"/>
    </row>
    <row r="16" spans="2:2">
      <c r="B16" s="293"/>
    </row>
    <row r="17" spans="2:2">
      <c r="B17" s="293"/>
    </row>
    <row r="18" spans="2:2">
      <c r="B18" s="293"/>
    </row>
    <row r="19" spans="2:2">
      <c r="B19" s="293"/>
    </row>
    <row r="20" spans="2:2">
      <c r="B20" s="293"/>
    </row>
    <row r="21" spans="2:2">
      <c r="B21" s="293"/>
    </row>
    <row r="24" spans="2:2">
      <c r="B24" s="293"/>
    </row>
    <row r="25" spans="2:2">
      <c r="B25" s="293"/>
    </row>
    <row r="26" spans="2:2">
      <c r="B26" s="293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6"/>
  <sheetViews>
    <sheetView workbookViewId="0">
      <selection activeCell="B11" sqref="B11"/>
    </sheetView>
  </sheetViews>
  <sheetFormatPr defaultColWidth="9" defaultRowHeight="13.5"/>
  <cols>
    <col min="1" max="1" width="29" style="2" customWidth="1"/>
    <col min="2" max="2" width="19" style="2" customWidth="1"/>
    <col min="3" max="3" width="10" style="2" customWidth="1"/>
    <col min="4" max="8" width="6.125" style="2" customWidth="1"/>
    <col min="9" max="9" width="15.125" style="2" customWidth="1"/>
    <col min="10" max="10" width="26" style="2" customWidth="1"/>
    <col min="11" max="11" width="13.25" style="2" customWidth="1"/>
    <col min="12" max="12" width="7.5" style="2" customWidth="1"/>
    <col min="13" max="13" width="4.5" style="2" customWidth="1"/>
    <col min="14" max="14" width="19.625" style="2" customWidth="1"/>
    <col min="15" max="15" width="29" style="2" customWidth="1"/>
    <col min="16" max="16" width="10.125" style="2" customWidth="1"/>
    <col min="17" max="17" width="9.625" style="2" customWidth="1"/>
    <col min="18" max="18" width="4.875" style="2" customWidth="1"/>
    <col min="19" max="19" width="14.5" style="2" customWidth="1"/>
    <col min="20" max="20" width="22.5" style="2" customWidth="1"/>
    <col min="21" max="22" width="9" style="2" customWidth="1"/>
    <col min="23" max="16384" width="9" style="2"/>
  </cols>
  <sheetData>
    <row r="1" customHeight="1" spans="1:2">
      <c r="A1" s="3"/>
      <c r="B1" s="4"/>
    </row>
    <row r="2" spans="1:2">
      <c r="A2" s="3" t="s">
        <v>29</v>
      </c>
      <c r="B2" s="260">
        <v>4096</v>
      </c>
    </row>
    <row r="3" ht="18" customHeight="1" spans="1:2">
      <c r="A3" s="3" t="s">
        <v>30</v>
      </c>
      <c r="B3" s="260">
        <v>3000</v>
      </c>
    </row>
    <row r="4" ht="20.25" customHeight="1" spans="1:2">
      <c r="A4" s="3" t="s">
        <v>31</v>
      </c>
      <c r="B4" s="260">
        <v>60000</v>
      </c>
    </row>
    <row r="5" ht="19.5" customHeight="1" spans="1:2">
      <c r="A5" s="3" t="s">
        <v>32</v>
      </c>
      <c r="B5" s="260">
        <v>8</v>
      </c>
    </row>
    <row r="6" ht="18.75" customHeight="1" spans="1:2">
      <c r="A6" s="3" t="s">
        <v>33</v>
      </c>
      <c r="B6" s="260">
        <v>1500</v>
      </c>
    </row>
    <row r="7" ht="16.5" customHeight="1" spans="1:2">
      <c r="A7" s="3" t="s">
        <v>34</v>
      </c>
      <c r="B7" s="260">
        <v>0</v>
      </c>
    </row>
    <row r="8" spans="1:2">
      <c r="A8" s="3" t="s">
        <v>35</v>
      </c>
      <c r="B8" s="261">
        <f>IF((ROUNDDOWN((I40-(62+B6-36)*O60-62-O61-170)/(O60+3),0)-12)&gt;180000,180000,ROUNDDOWN((I40-(62+B6-36)*O60-62-O61-170)/(O60+3),0)-12)</f>
        <v>132454</v>
      </c>
    </row>
    <row r="9" ht="24" customHeight="1" spans="1:2">
      <c r="A9" s="3" t="s">
        <v>36</v>
      </c>
      <c r="B9" s="260">
        <v>9</v>
      </c>
    </row>
    <row r="10" ht="23.25" customHeight="1" spans="1:2">
      <c r="A10" s="3" t="s">
        <v>37</v>
      </c>
      <c r="B10" s="260">
        <v>0</v>
      </c>
    </row>
    <row r="11" ht="18.75" customHeight="1" spans="1:2">
      <c r="A11" s="3" t="s">
        <v>38</v>
      </c>
      <c r="B11" s="260">
        <v>1000</v>
      </c>
    </row>
    <row r="12" ht="19.5" customHeight="1" spans="1:2">
      <c r="A12" s="3" t="s">
        <v>39</v>
      </c>
      <c r="B12" s="260">
        <v>10</v>
      </c>
    </row>
    <row r="13" spans="1:2">
      <c r="A13" s="3" t="s">
        <v>40</v>
      </c>
      <c r="B13" s="261">
        <f>IF((100-ROUNDDOWN(I41*10/(1250000*B11/10),0)-1)&lt;0,0,(100-ROUNDDOWN(I41*10/(1250000*B11/10),0)-1))</f>
        <v>98</v>
      </c>
    </row>
    <row r="14" ht="14.25" hidden="1" customHeight="1" spans="1:2">
      <c r="A14" s="3"/>
      <c r="B14" s="261">
        <f>IF(O24="GIGE",INT(INT(INT(INT(B2*INT(1000000000/I23)/10)*IF(B5=8,1,2)/10)*B3/10)*10/(100-B12))*10,"-")</f>
        <v>118961330</v>
      </c>
    </row>
    <row r="15" ht="14.25" customHeight="1" spans="1:2">
      <c r="A15" s="3"/>
      <c r="B15" s="261"/>
    </row>
    <row r="16" ht="14.25" customHeight="1" spans="1:2">
      <c r="A16" s="15"/>
      <c r="B16" s="262"/>
    </row>
    <row r="17" ht="14.25" customHeight="1" spans="1:2">
      <c r="A17" s="15" t="s">
        <v>41</v>
      </c>
      <c r="B17" s="263">
        <f>1000000/I23</f>
        <v>8.71330608972963</v>
      </c>
    </row>
    <row r="18" ht="41.25" customHeight="1"/>
    <row r="19" ht="41.25" hidden="1" spans="1:23">
      <c r="A19" s="17" t="s">
        <v>42</v>
      </c>
      <c r="B19" s="17" t="s">
        <v>43</v>
      </c>
      <c r="C19" s="18" t="s">
        <v>44</v>
      </c>
      <c r="D19" s="264"/>
      <c r="F19" s="41" t="s">
        <v>45</v>
      </c>
      <c r="G19" s="22"/>
      <c r="H19" s="22"/>
      <c r="I19" s="22"/>
      <c r="J19" s="42"/>
      <c r="L19" s="41" t="s">
        <v>46</v>
      </c>
      <c r="M19" s="22"/>
      <c r="N19" s="22"/>
      <c r="O19" s="22"/>
      <c r="P19" s="42"/>
      <c r="R19" s="47" t="s">
        <v>47</v>
      </c>
      <c r="S19" s="24"/>
      <c r="T19" s="24"/>
      <c r="U19" s="24"/>
      <c r="V19" s="48"/>
      <c r="W19" s="319"/>
    </row>
    <row r="20" ht="27" hidden="1" spans="1:23">
      <c r="A20" s="265" t="s">
        <v>48</v>
      </c>
      <c r="B20" s="266"/>
      <c r="C20" s="266"/>
      <c r="D20" s="267"/>
      <c r="F20" s="268" t="s">
        <v>49</v>
      </c>
      <c r="G20" s="23" t="s">
        <v>50</v>
      </c>
      <c r="H20" s="44" t="s">
        <v>51</v>
      </c>
      <c r="I20" s="23" t="s">
        <v>52</v>
      </c>
      <c r="J20" s="302" t="s">
        <v>53</v>
      </c>
      <c r="L20" s="47" t="s">
        <v>54</v>
      </c>
      <c r="M20" s="24"/>
      <c r="N20" s="24"/>
      <c r="O20" s="24"/>
      <c r="P20" s="48"/>
      <c r="R20" s="43" t="s">
        <v>55</v>
      </c>
      <c r="S20" s="23" t="s">
        <v>50</v>
      </c>
      <c r="T20" s="23" t="s">
        <v>56</v>
      </c>
      <c r="U20" s="23" t="s">
        <v>57</v>
      </c>
      <c r="V20" s="23" t="s">
        <v>51</v>
      </c>
      <c r="W20" s="46" t="s">
        <v>58</v>
      </c>
    </row>
    <row r="21" ht="40.5" hidden="1" spans="1:23">
      <c r="A21" s="43" t="s">
        <v>49</v>
      </c>
      <c r="B21" s="23" t="s">
        <v>50</v>
      </c>
      <c r="C21" s="23" t="s">
        <v>59</v>
      </c>
      <c r="D21" s="46" t="s">
        <v>60</v>
      </c>
      <c r="F21" s="47" t="s">
        <v>61</v>
      </c>
      <c r="G21" s="24"/>
      <c r="H21" s="24"/>
      <c r="I21" s="24"/>
      <c r="J21" s="48"/>
      <c r="L21" s="43" t="s">
        <v>49</v>
      </c>
      <c r="M21" s="23" t="s">
        <v>50</v>
      </c>
      <c r="N21" s="23" t="s">
        <v>51</v>
      </c>
      <c r="O21" s="23" t="s">
        <v>62</v>
      </c>
      <c r="P21" s="80" t="s">
        <v>53</v>
      </c>
      <c r="R21" s="272" t="s">
        <v>63</v>
      </c>
      <c r="S21" s="320" t="s">
        <v>64</v>
      </c>
      <c r="T21" s="318">
        <v>520</v>
      </c>
      <c r="U21" s="86" t="str">
        <f>"R"&amp;T21&amp;"(R0x"&amp;DEC2HEX(T21)&amp;")"</f>
        <v>R520(R0x208)</v>
      </c>
      <c r="V21" s="270" t="s">
        <v>65</v>
      </c>
      <c r="W21" s="321">
        <v>1</v>
      </c>
    </row>
    <row r="22" ht="229.5" hidden="1" spans="1:23">
      <c r="A22" s="32" t="s">
        <v>66</v>
      </c>
      <c r="B22" s="29"/>
      <c r="C22" s="29"/>
      <c r="D22" s="57"/>
      <c r="F22" s="269" t="s">
        <v>67</v>
      </c>
      <c r="G22" s="270" t="s">
        <v>68</v>
      </c>
      <c r="H22" s="271" t="s">
        <v>69</v>
      </c>
      <c r="I22" s="303">
        <f>ROUNDUP(1000000*O28/O22,0)</f>
        <v>21520</v>
      </c>
      <c r="J22" s="304" t="s">
        <v>70</v>
      </c>
      <c r="L22" s="82"/>
      <c r="M22" s="82" t="s">
        <v>71</v>
      </c>
      <c r="N22" s="82" t="s">
        <v>72</v>
      </c>
      <c r="O22" s="75">
        <v>37500</v>
      </c>
      <c r="P22" s="304" t="s">
        <v>73</v>
      </c>
      <c r="R22" s="272" t="s">
        <v>74</v>
      </c>
      <c r="S22" s="322" t="s">
        <v>75</v>
      </c>
      <c r="T22" s="318">
        <v>1298</v>
      </c>
      <c r="U22" s="86" t="str">
        <f>"R"&amp;T22&amp;"(R0x"&amp;DEC2HEX(T22)&amp;")"</f>
        <v>R1298(R0x512)</v>
      </c>
      <c r="V22" s="323" t="s">
        <v>76</v>
      </c>
      <c r="W22" s="321" t="str">
        <f>DEC2HEX(D32+O27-(HEX2DEC(W23)*256))</f>
        <v>4</v>
      </c>
    </row>
    <row r="23" ht="81" hidden="1" spans="1:23">
      <c r="A23" s="272" t="s">
        <v>77</v>
      </c>
      <c r="B23" s="270" t="s">
        <v>78</v>
      </c>
      <c r="C23" s="270">
        <v>8</v>
      </c>
      <c r="F23" s="269" t="s">
        <v>79</v>
      </c>
      <c r="G23" s="270" t="s">
        <v>80</v>
      </c>
      <c r="H23" s="271" t="s">
        <v>81</v>
      </c>
      <c r="I23" s="305">
        <f>ROUNDUP(MAX(I27,I28,I30,I31)*I22/1000,0)</f>
        <v>114767</v>
      </c>
      <c r="J23" s="304" t="s">
        <v>82</v>
      </c>
      <c r="L23" s="82" t="s">
        <v>83</v>
      </c>
      <c r="M23" s="82" t="s">
        <v>84</v>
      </c>
      <c r="N23" s="82" t="s">
        <v>85</v>
      </c>
      <c r="O23" s="75" t="str">
        <f>IF(C19="mars-1231-32u3x","IMX253",IF(OR(C19="mars-1230-9gx",C19="mars-1230-23u3x"),"IMX304",IF(C19="mars-881-44u3x","IMX255",IF(OR(C19="mars-880-13gx",C19="mars-880-32u3x"),"IMX267","-"))))</f>
        <v>IMX304</v>
      </c>
      <c r="P23" s="82" t="s">
        <v>85</v>
      </c>
      <c r="R23" s="272" t="s">
        <v>86</v>
      </c>
      <c r="S23" s="320"/>
      <c r="T23" s="318">
        <v>1299</v>
      </c>
      <c r="U23" s="86" t="str">
        <f>"R"&amp;T23&amp;"(R0x"&amp;DEC2HEX(T23)&amp;")"</f>
        <v>R1299(R0x513)</v>
      </c>
      <c r="V23" s="324"/>
      <c r="W23" s="321" t="str">
        <f>DEC2HEX(INT((D32+O27)/256))</f>
        <v>0</v>
      </c>
    </row>
    <row r="24" ht="67.5" hidden="1" spans="1:23">
      <c r="A24" s="32" t="s">
        <v>87</v>
      </c>
      <c r="B24" s="29"/>
      <c r="C24" s="29"/>
      <c r="D24" s="57"/>
      <c r="F24" s="269" t="s">
        <v>88</v>
      </c>
      <c r="G24" s="270" t="s">
        <v>61</v>
      </c>
      <c r="H24" s="271" t="s">
        <v>89</v>
      </c>
      <c r="J24" s="304" t="s">
        <v>90</v>
      </c>
      <c r="L24" s="82" t="s">
        <v>91</v>
      </c>
      <c r="M24" s="82" t="s">
        <v>92</v>
      </c>
      <c r="N24" s="82" t="s">
        <v>85</v>
      </c>
      <c r="O24" s="75" t="str">
        <f>IF(OR(C19="mars-1230-9gx",C19="mars-880-13gx"),"GIGE",IF(OR(C19="mars-1231-32u3x",C19="mars-1230-23u3x",C19="mars-881-44u3x",C19="mars-880-32u3x"),"U3","-"))</f>
        <v>GIGE</v>
      </c>
      <c r="P24" s="82" t="s">
        <v>85</v>
      </c>
      <c r="R24" s="272" t="s">
        <v>93</v>
      </c>
      <c r="S24" s="322" t="s">
        <v>94</v>
      </c>
      <c r="T24" s="318">
        <v>1302</v>
      </c>
      <c r="U24" s="86" t="str">
        <f t="shared" ref="U24:U26" si="0">"R"&amp;T24&amp;"(R0x"&amp;DEC2HEX(T24)&amp;")"</f>
        <v>R1302(R0x516)</v>
      </c>
      <c r="V24" s="323" t="s">
        <v>95</v>
      </c>
      <c r="W24" s="321" t="str">
        <f>DEC2HEX(B3-HEX2DEC(W25)*256)</f>
        <v>B8</v>
      </c>
    </row>
    <row r="25" ht="189" hidden="1" spans="1:23">
      <c r="A25" s="272" t="s">
        <v>96</v>
      </c>
      <c r="B25" s="270" t="s">
        <v>97</v>
      </c>
      <c r="C25" s="270" t="str">
        <f>IF(C19="mars-1230-23u3x","40000",IF(OR(C19="mars-1230-9gx",C19="mars-880-13gx"),"60000",IF(OR(C19="mars-1231-32u3x",C19="mars-880-32u3x"),"30000",IF(C19="mars-881-44u3x","20000","-"))))</f>
        <v>60000</v>
      </c>
      <c r="F25" s="47" t="s">
        <v>98</v>
      </c>
      <c r="G25" s="24"/>
      <c r="H25" s="24"/>
      <c r="I25" s="24"/>
      <c r="J25" s="48"/>
      <c r="L25" s="272" t="s">
        <v>99</v>
      </c>
      <c r="M25" s="270" t="s">
        <v>100</v>
      </c>
      <c r="N25" s="74" t="s">
        <v>85</v>
      </c>
      <c r="O25" s="75">
        <v>8</v>
      </c>
      <c r="P25" s="304" t="s">
        <v>101</v>
      </c>
      <c r="R25" s="272" t="s">
        <v>102</v>
      </c>
      <c r="S25" s="320"/>
      <c r="T25" s="318">
        <v>1303</v>
      </c>
      <c r="U25" s="86" t="str">
        <f t="shared" si="0"/>
        <v>R1303(R0x517)</v>
      </c>
      <c r="V25" s="324"/>
      <c r="W25" s="321" t="str">
        <f>DEC2HEX(INT(B3/256))</f>
        <v>B</v>
      </c>
    </row>
    <row r="26" ht="40.5" hidden="1" spans="1:23">
      <c r="A26" s="272" t="s">
        <v>103</v>
      </c>
      <c r="B26" s="270" t="s">
        <v>104</v>
      </c>
      <c r="C26" s="270">
        <v>0</v>
      </c>
      <c r="D26" s="273">
        <v>0</v>
      </c>
      <c r="F26" s="269"/>
      <c r="G26" s="270"/>
      <c r="H26" s="25"/>
      <c r="I26" s="54"/>
      <c r="J26" s="306"/>
      <c r="L26" s="272"/>
      <c r="M26" s="270"/>
      <c r="N26" s="74"/>
      <c r="O26" s="75"/>
      <c r="P26" s="304"/>
      <c r="R26" s="272" t="s">
        <v>63</v>
      </c>
      <c r="S26" s="320" t="s">
        <v>64</v>
      </c>
      <c r="T26" s="318">
        <v>520</v>
      </c>
      <c r="U26" s="86" t="str">
        <f t="shared" si="0"/>
        <v>R520(R0x208)</v>
      </c>
      <c r="V26" s="270" t="s">
        <v>65</v>
      </c>
      <c r="W26" s="321">
        <v>0</v>
      </c>
    </row>
    <row r="27" ht="189" hidden="1" spans="1:23">
      <c r="A27" s="32" t="s">
        <v>105</v>
      </c>
      <c r="B27" s="29"/>
      <c r="C27" s="29"/>
      <c r="D27" s="57"/>
      <c r="F27" s="269" t="s">
        <v>106</v>
      </c>
      <c r="G27" s="270" t="s">
        <v>107</v>
      </c>
      <c r="H27" s="25" t="s">
        <v>108</v>
      </c>
      <c r="I27" s="54">
        <f>I39+O30</f>
        <v>3055</v>
      </c>
      <c r="J27" s="306" t="s">
        <v>109</v>
      </c>
      <c r="L27" s="272" t="s">
        <v>110</v>
      </c>
      <c r="M27" s="270" t="s">
        <v>100</v>
      </c>
      <c r="N27" s="74" t="s">
        <v>111</v>
      </c>
      <c r="O27" s="75">
        <f>IF(OR(O23="IMX253",O23="IMX304"),4,IF(OR(O23="IMX255",O23="IMX267"),8,"-"))</f>
        <v>4</v>
      </c>
      <c r="P27" s="304" t="s">
        <v>101</v>
      </c>
      <c r="R27" s="47" t="s">
        <v>112</v>
      </c>
      <c r="S27" s="24"/>
      <c r="T27" s="24"/>
      <c r="U27" s="24"/>
      <c r="V27" s="48"/>
      <c r="W27" s="319"/>
    </row>
    <row r="28" ht="283.5" hidden="1" spans="1:23">
      <c r="A28" s="272" t="s">
        <v>113</v>
      </c>
      <c r="B28" s="270" t="s">
        <v>114</v>
      </c>
      <c r="C28" s="270">
        <v>0</v>
      </c>
      <c r="D28" s="273">
        <v>0</v>
      </c>
      <c r="F28" s="274" t="s">
        <v>115</v>
      </c>
      <c r="G28" s="26" t="s">
        <v>116</v>
      </c>
      <c r="H28" s="26" t="s">
        <v>117</v>
      </c>
      <c r="I28" s="55">
        <f>I33+O31</f>
        <v>2800</v>
      </c>
      <c r="J28" s="307" t="s">
        <v>109</v>
      </c>
      <c r="L28" s="272" t="s">
        <v>118</v>
      </c>
      <c r="M28" s="270" t="s">
        <v>119</v>
      </c>
      <c r="N28" s="270" t="s">
        <v>120</v>
      </c>
      <c r="O28" s="75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304" t="s">
        <v>121</v>
      </c>
      <c r="R28" s="272" t="s">
        <v>122</v>
      </c>
      <c r="S28" s="270" t="s">
        <v>123</v>
      </c>
      <c r="T28" s="270"/>
      <c r="U28" s="270" t="str">
        <f>IF(O24="U3","0x1b0",IF(O24="GIGE","0x94","-"))</f>
        <v>0x94</v>
      </c>
      <c r="V28" s="270" t="s">
        <v>124</v>
      </c>
      <c r="W28" s="325" t="str">
        <f>IF(O24="U3",DEC2HEX(O28),IF(O24="GIGE",DEC2HEX(O28),"-"))</f>
        <v>327</v>
      </c>
    </row>
    <row r="29" ht="283.5" hidden="1" spans="1:23">
      <c r="A29" s="275"/>
      <c r="B29" s="276"/>
      <c r="C29" s="276"/>
      <c r="D29" s="277"/>
      <c r="F29" s="278"/>
      <c r="G29" s="74"/>
      <c r="H29" s="25"/>
      <c r="I29" s="54"/>
      <c r="J29" s="306"/>
      <c r="L29" s="272" t="s">
        <v>125</v>
      </c>
      <c r="M29" s="270" t="s">
        <v>126</v>
      </c>
      <c r="N29" s="270" t="s">
        <v>127</v>
      </c>
      <c r="O29" s="75">
        <f>IF(O24="GIGE",IF(O23="IMX253",678,IF(O23="IMX255",678,IF(O23="IMX304",807,IF(O23="IMX267",807,"-")))),"-")</f>
        <v>807</v>
      </c>
      <c r="P29" s="304" t="s">
        <v>121</v>
      </c>
      <c r="R29" s="272" t="s">
        <v>128</v>
      </c>
      <c r="S29" s="270" t="s">
        <v>129</v>
      </c>
      <c r="T29" s="270"/>
      <c r="U29" s="270" t="str">
        <f>IF(O23="U3","0x1b1",IF(O23="GIGE","0x95","-"))</f>
        <v>-</v>
      </c>
      <c r="V29" s="270" t="s">
        <v>130</v>
      </c>
      <c r="W29" s="321" t="e">
        <f>DEC2HEX(INT(#REF!/I21))</f>
        <v>#REF!</v>
      </c>
    </row>
    <row r="30" ht="409.5" hidden="1" spans="1:23">
      <c r="A30" s="32" t="s">
        <v>131</v>
      </c>
      <c r="B30" s="29"/>
      <c r="C30" s="29"/>
      <c r="D30" s="57"/>
      <c r="F30" s="269" t="s">
        <v>132</v>
      </c>
      <c r="G30" s="270" t="s">
        <v>133</v>
      </c>
      <c r="H30" s="270" t="s">
        <v>134</v>
      </c>
      <c r="I30" s="75">
        <f>ROUNDUP(((1000000000/B9)/I22)*B10,0)</f>
        <v>0</v>
      </c>
      <c r="J30" s="306" t="s">
        <v>109</v>
      </c>
      <c r="L30" s="272" t="s">
        <v>135</v>
      </c>
      <c r="M30" s="270" t="s">
        <v>136</v>
      </c>
      <c r="N30" s="74" t="s">
        <v>137</v>
      </c>
      <c r="O30" s="75">
        <f>IF(OR(O23="IMX253",O23="IMX255"),54,IF(OR(O23="IMX304",O23="IMX267"),34,"-"))</f>
        <v>34</v>
      </c>
      <c r="P30" s="83" t="s">
        <v>109</v>
      </c>
      <c r="R30" s="308" t="s">
        <v>138</v>
      </c>
      <c r="S30" s="26" t="s">
        <v>139</v>
      </c>
      <c r="T30" s="280"/>
      <c r="U30" s="280" t="str">
        <f>IF(O23="U3","0x1b4-0x1b5",IF(O24="GIGE","0x96","-"))</f>
        <v>0x96</v>
      </c>
      <c r="V30" s="280" t="s">
        <v>140</v>
      </c>
      <c r="W30" s="326" t="str">
        <f>DEC2HEX(I33)</f>
        <v>AE4</v>
      </c>
    </row>
    <row r="31" ht="409.5" hidden="1" spans="1:23">
      <c r="A31" s="272" t="s">
        <v>141</v>
      </c>
      <c r="B31" s="270" t="s">
        <v>142</v>
      </c>
      <c r="C31" s="270">
        <v>0</v>
      </c>
      <c r="D31" s="273">
        <v>0</v>
      </c>
      <c r="F31" s="269" t="s">
        <v>143</v>
      </c>
      <c r="G31" s="270" t="s">
        <v>144</v>
      </c>
      <c r="H31" s="74" t="s">
        <v>145</v>
      </c>
      <c r="I31" s="75">
        <f>IF(O24="U3",O40,IF(O24="GIGE",O72,"-"))</f>
        <v>5333</v>
      </c>
      <c r="J31" s="306" t="s">
        <v>109</v>
      </c>
      <c r="L31" s="82" t="s">
        <v>146</v>
      </c>
      <c r="M31" s="74" t="s">
        <v>147</v>
      </c>
      <c r="N31" s="74" t="s">
        <v>148</v>
      </c>
      <c r="O31" s="75">
        <f>IF(OR(O23="IMX253",O23="IMX255"),24,IF(OR(O23="IMX304",O23="IMX267"),12,"-"))</f>
        <v>12</v>
      </c>
      <c r="P31" s="83" t="s">
        <v>109</v>
      </c>
      <c r="R31" s="327" t="s">
        <v>149</v>
      </c>
      <c r="S31" s="282" t="s">
        <v>150</v>
      </c>
      <c r="T31" s="282"/>
      <c r="U31" s="282" t="str">
        <f>IF(O23="U3","0x1b6-0x1b7",IF(O24="GIGE","0x97","-"))</f>
        <v>0x97</v>
      </c>
      <c r="V31" s="282" t="s">
        <v>151</v>
      </c>
      <c r="W31" s="328" t="str">
        <f>DEC2HEX(MAX(I27,I28,I30,I31))</f>
        <v>14D5</v>
      </c>
    </row>
    <row r="32" ht="409.5" hidden="1" spans="1:23">
      <c r="A32" s="272" t="s">
        <v>152</v>
      </c>
      <c r="B32" s="270" t="s">
        <v>153</v>
      </c>
      <c r="C32" s="270">
        <v>0</v>
      </c>
      <c r="D32" s="273">
        <v>0</v>
      </c>
      <c r="F32" s="47" t="s">
        <v>154</v>
      </c>
      <c r="G32" s="24"/>
      <c r="H32" s="24"/>
      <c r="I32" s="24"/>
      <c r="J32" s="48"/>
      <c r="L32" s="308" t="s">
        <v>155</v>
      </c>
      <c r="M32" s="280" t="s">
        <v>156</v>
      </c>
      <c r="N32" s="26" t="s">
        <v>85</v>
      </c>
      <c r="O32" s="309">
        <v>14260</v>
      </c>
      <c r="P32" s="310" t="s">
        <v>70</v>
      </c>
      <c r="R32" s="327" t="s">
        <v>157</v>
      </c>
      <c r="S32" s="282">
        <v>32</v>
      </c>
      <c r="T32" s="282"/>
      <c r="U32" s="282" t="str">
        <f>"0x"&amp;DEC2HEX(S32)</f>
        <v>0x20</v>
      </c>
      <c r="V32" s="282" t="s">
        <v>158</v>
      </c>
      <c r="W32" s="328">
        <v>1</v>
      </c>
    </row>
    <row r="33" ht="135.75" hidden="1" spans="1:16">
      <c r="A33" s="272" t="s">
        <v>29</v>
      </c>
      <c r="B33" s="270" t="s">
        <v>159</v>
      </c>
      <c r="C33" s="270">
        <f>IF(OR(O23="IMX253",O23="IMX304",O23="IMX255",O23="IMX267"),4096,"-")</f>
        <v>4096</v>
      </c>
      <c r="F33" s="279" t="s">
        <v>160</v>
      </c>
      <c r="G33" s="280" t="s">
        <v>161</v>
      </c>
      <c r="H33" s="280" t="s">
        <v>162</v>
      </c>
      <c r="I33" s="55">
        <f>MAX(ROUNDUP(((1000*B4-O32)/I22),0),1)</f>
        <v>2788</v>
      </c>
      <c r="J33" s="307" t="s">
        <v>109</v>
      </c>
      <c r="L33" s="30" t="s">
        <v>163</v>
      </c>
      <c r="M33" s="25" t="s">
        <v>164</v>
      </c>
      <c r="N33" s="25" t="s">
        <v>165</v>
      </c>
      <c r="O33" s="69">
        <f>IF(O24="U3",3950,IF(O24="GIGE",IF(O23="IMX304",1106,IF(O23="IMX267",1250,"-")),"-"))</f>
        <v>1106</v>
      </c>
      <c r="P33" s="51" t="s">
        <v>166</v>
      </c>
    </row>
    <row r="34" ht="67.5" hidden="1" spans="1:16">
      <c r="A34" s="272" t="s">
        <v>30</v>
      </c>
      <c r="B34" s="270" t="s">
        <v>167</v>
      </c>
      <c r="C34" s="270">
        <f>IF(OR(O23="IMX253",O23="IMX304"),3000,IF(OR(O23="IMX255",O23="IMX267"),2160,"-"))</f>
        <v>3000</v>
      </c>
      <c r="F34" s="269" t="s">
        <v>168</v>
      </c>
      <c r="G34" s="270" t="s">
        <v>169</v>
      </c>
      <c r="H34" s="270">
        <v>0</v>
      </c>
      <c r="I34" s="75">
        <v>0</v>
      </c>
      <c r="J34" s="304" t="s">
        <v>82</v>
      </c>
      <c r="L34" s="47" t="s">
        <v>170</v>
      </c>
      <c r="M34" s="24"/>
      <c r="N34" s="24"/>
      <c r="O34" s="24"/>
      <c r="P34" s="48"/>
    </row>
    <row r="35" ht="94.5" hidden="1" spans="1:16">
      <c r="A35" s="32" t="s">
        <v>171</v>
      </c>
      <c r="B35" s="29"/>
      <c r="C35" s="29"/>
      <c r="D35" s="57"/>
      <c r="F35" s="269" t="s">
        <v>172</v>
      </c>
      <c r="G35" s="270" t="s">
        <v>173</v>
      </c>
      <c r="H35" s="270" t="s">
        <v>174</v>
      </c>
      <c r="I35" s="75">
        <f>IF(B4&gt;100,B4,100)</f>
        <v>60000</v>
      </c>
      <c r="J35" s="304" t="s">
        <v>82</v>
      </c>
      <c r="L35" s="43" t="s">
        <v>49</v>
      </c>
      <c r="M35" s="23" t="s">
        <v>50</v>
      </c>
      <c r="N35" s="23" t="s">
        <v>51</v>
      </c>
      <c r="O35" s="23" t="s">
        <v>62</v>
      </c>
      <c r="P35" s="80" t="s">
        <v>53</v>
      </c>
    </row>
    <row r="36" ht="135" hidden="1" spans="1:16">
      <c r="A36" s="82" t="s">
        <v>175</v>
      </c>
      <c r="B36" s="270" t="s">
        <v>176</v>
      </c>
      <c r="C36" s="270">
        <v>0</v>
      </c>
      <c r="D36" s="273">
        <v>0</v>
      </c>
      <c r="F36" s="269" t="s">
        <v>177</v>
      </c>
      <c r="G36" s="270" t="s">
        <v>178</v>
      </c>
      <c r="H36" s="271" t="s">
        <v>179</v>
      </c>
      <c r="I36" s="75">
        <f>(B4+11*I22)/1000+I39*I22/1000</f>
        <v>65308.64</v>
      </c>
      <c r="J36" s="304" t="s">
        <v>82</v>
      </c>
      <c r="L36" s="272" t="s">
        <v>180</v>
      </c>
      <c r="M36" s="270" t="s">
        <v>181</v>
      </c>
      <c r="N36" s="270">
        <v>52</v>
      </c>
      <c r="O36" s="75">
        <v>52</v>
      </c>
      <c r="P36" s="304" t="s">
        <v>182</v>
      </c>
    </row>
    <row r="37" ht="81" hidden="1" spans="1:20">
      <c r="A37" s="82" t="s">
        <v>183</v>
      </c>
      <c r="B37" s="270" t="s">
        <v>176</v>
      </c>
      <c r="C37" s="270">
        <v>0</v>
      </c>
      <c r="D37" s="273">
        <v>0</v>
      </c>
      <c r="F37" s="269" t="s">
        <v>184</v>
      </c>
      <c r="G37" s="270" t="s">
        <v>185</v>
      </c>
      <c r="H37" s="270" t="s">
        <v>186</v>
      </c>
      <c r="I37" s="311" t="str">
        <f>IF(O24="U3",B17*O39/1000000,"-")</f>
        <v>-</v>
      </c>
      <c r="J37" s="304" t="s">
        <v>187</v>
      </c>
      <c r="L37" s="272" t="s">
        <v>188</v>
      </c>
      <c r="M37" s="270" t="s">
        <v>189</v>
      </c>
      <c r="N37" s="270" t="s">
        <v>190</v>
      </c>
      <c r="O37" s="75">
        <f>IF(B5=1,36,32)</f>
        <v>32</v>
      </c>
      <c r="P37" s="304" t="s">
        <v>182</v>
      </c>
      <c r="T37" s="329"/>
    </row>
    <row r="38" ht="81.75" hidden="1" spans="1:20">
      <c r="A38" s="281" t="s">
        <v>191</v>
      </c>
      <c r="B38" s="282" t="s">
        <v>176</v>
      </c>
      <c r="C38" s="282">
        <v>0</v>
      </c>
      <c r="D38" s="283">
        <v>0</v>
      </c>
      <c r="F38" s="279" t="s">
        <v>192</v>
      </c>
      <c r="G38" s="280" t="s">
        <v>193</v>
      </c>
      <c r="H38" s="280" t="s">
        <v>194</v>
      </c>
      <c r="J38" s="310" t="s">
        <v>195</v>
      </c>
      <c r="L38" s="272" t="s">
        <v>196</v>
      </c>
      <c r="M38" s="270" t="s">
        <v>197</v>
      </c>
      <c r="N38" s="270" t="s">
        <v>198</v>
      </c>
      <c r="O38" s="311">
        <f>B2*B3*IF(B5=8,1,2)</f>
        <v>12288000</v>
      </c>
      <c r="P38" s="304" t="s">
        <v>182</v>
      </c>
      <c r="T38" s="329"/>
    </row>
    <row r="39" ht="337.5" hidden="1" spans="1:20">
      <c r="A39" s="284" t="s">
        <v>199</v>
      </c>
      <c r="B39" s="285"/>
      <c r="C39" s="285"/>
      <c r="D39" s="286"/>
      <c r="F39" s="287" t="s">
        <v>200</v>
      </c>
      <c r="G39" s="288" t="s">
        <v>201</v>
      </c>
      <c r="H39" s="288" t="s">
        <v>202</v>
      </c>
      <c r="I39" s="59">
        <f>IF(OR(O23="IMX253",O23="IMX255"),41,IF(OR(O23="IMX304",O23="IMX267"),21,"-"))+B3</f>
        <v>3021</v>
      </c>
      <c r="J39" s="306" t="s">
        <v>109</v>
      </c>
      <c r="L39" s="272" t="s">
        <v>203</v>
      </c>
      <c r="M39" s="270" t="s">
        <v>204</v>
      </c>
      <c r="N39" s="270" t="s">
        <v>205</v>
      </c>
      <c r="O39" s="311">
        <f>O36+O37+O38+(8+16*D36+16*D37)*D38</f>
        <v>12288084</v>
      </c>
      <c r="P39" s="304" t="s">
        <v>182</v>
      </c>
      <c r="T39" s="329"/>
    </row>
    <row r="40" ht="121.5" hidden="1" spans="1:26">
      <c r="A40" s="272" t="s">
        <v>206</v>
      </c>
      <c r="B40" s="270" t="s">
        <v>207</v>
      </c>
      <c r="C40" s="270">
        <v>0</v>
      </c>
      <c r="D40" s="273">
        <v>0</v>
      </c>
      <c r="F40" s="279" t="s">
        <v>208</v>
      </c>
      <c r="G40" s="289" t="s">
        <v>209</v>
      </c>
      <c r="H40" s="280" t="s">
        <v>210</v>
      </c>
      <c r="I40" s="55">
        <f>12500*B11*(100-B12)</f>
        <v>1125000000</v>
      </c>
      <c r="J40" s="310"/>
      <c r="L40" s="272" t="s">
        <v>211</v>
      </c>
      <c r="M40" s="270" t="s">
        <v>144</v>
      </c>
      <c r="N40" s="74" t="s">
        <v>212</v>
      </c>
      <c r="O40" s="75">
        <f>ROUNDUP((MAX((O39*1000000/D41)*D40,O39*10/O33)*1000/I22),0)</f>
        <v>5163</v>
      </c>
      <c r="P40" s="304" t="s">
        <v>109</v>
      </c>
      <c r="R40" s="90"/>
      <c r="S40" s="329"/>
      <c r="T40" s="329"/>
      <c r="U40" s="329"/>
      <c r="V40" s="329"/>
      <c r="Y40" s="329"/>
      <c r="Z40" s="329"/>
    </row>
    <row r="41" ht="324.75" hidden="1" spans="1:26">
      <c r="A41" s="272" t="s">
        <v>213</v>
      </c>
      <c r="B41" s="270" t="s">
        <v>214</v>
      </c>
      <c r="C41" s="270">
        <v>300000000</v>
      </c>
      <c r="D41" s="273">
        <v>350000000</v>
      </c>
      <c r="F41" s="290" t="s">
        <v>215</v>
      </c>
      <c r="G41" s="291" t="s">
        <v>216</v>
      </c>
      <c r="H41" s="292" t="s">
        <v>217</v>
      </c>
      <c r="I41" s="312">
        <f>((62+(B6-36))*O60+62+O61+168)+(B7+12)*(O60+3)</f>
        <v>12909348</v>
      </c>
      <c r="J41" s="313"/>
      <c r="L41" s="47" t="s">
        <v>218</v>
      </c>
      <c r="M41" s="24"/>
      <c r="N41" s="24"/>
      <c r="O41" s="24"/>
      <c r="P41" s="48"/>
      <c r="R41" s="90"/>
      <c r="S41" s="329"/>
      <c r="T41" s="329"/>
      <c r="U41" s="329"/>
      <c r="V41" s="329"/>
      <c r="Y41" s="329"/>
      <c r="Z41" s="329"/>
    </row>
    <row r="42" ht="27" hidden="1" spans="1:26">
      <c r="A42" s="32" t="s">
        <v>219</v>
      </c>
      <c r="B42" s="29"/>
      <c r="C42" s="29"/>
      <c r="D42" s="57"/>
      <c r="F42" s="293"/>
      <c r="L42" s="43" t="s">
        <v>49</v>
      </c>
      <c r="M42" s="23" t="s">
        <v>50</v>
      </c>
      <c r="N42" s="23" t="s">
        <v>51</v>
      </c>
      <c r="O42" s="23" t="s">
        <v>62</v>
      </c>
      <c r="P42" s="80" t="s">
        <v>53</v>
      </c>
      <c r="R42" s="90"/>
      <c r="S42" s="329"/>
      <c r="T42" s="329"/>
      <c r="U42" s="329"/>
      <c r="V42" s="329"/>
      <c r="Y42" s="329"/>
      <c r="Z42" s="329"/>
    </row>
    <row r="43" ht="27" hidden="1" spans="1:26">
      <c r="A43" s="272" t="s">
        <v>220</v>
      </c>
      <c r="B43" s="270" t="s">
        <v>221</v>
      </c>
      <c r="C43" s="294" t="s">
        <v>85</v>
      </c>
      <c r="F43" s="293"/>
      <c r="L43" s="272" t="s">
        <v>222</v>
      </c>
      <c r="M43" s="270" t="s">
        <v>223</v>
      </c>
      <c r="N43" s="270" t="s">
        <v>224</v>
      </c>
      <c r="O43" s="75">
        <v>7</v>
      </c>
      <c r="P43" s="304" t="s">
        <v>182</v>
      </c>
      <c r="R43" s="90"/>
      <c r="S43" s="329"/>
      <c r="T43" s="329"/>
      <c r="U43" s="329"/>
      <c r="V43" s="329"/>
      <c r="Y43" s="329"/>
      <c r="Z43" s="329"/>
    </row>
    <row r="44" ht="81" hidden="1" spans="1:26">
      <c r="A44" s="272" t="s">
        <v>33</v>
      </c>
      <c r="B44" s="270" t="s">
        <v>225</v>
      </c>
      <c r="C44" s="294">
        <v>1500</v>
      </c>
      <c r="F44" s="293"/>
      <c r="L44" s="272" t="s">
        <v>226</v>
      </c>
      <c r="M44" s="270" t="s">
        <v>227</v>
      </c>
      <c r="N44" s="270" t="s">
        <v>228</v>
      </c>
      <c r="O44" s="75">
        <v>1</v>
      </c>
      <c r="P44" s="304" t="s">
        <v>182</v>
      </c>
      <c r="R44" s="90"/>
      <c r="S44" s="329"/>
      <c r="T44" s="329"/>
      <c r="U44" s="329"/>
      <c r="V44" s="329"/>
      <c r="Y44" s="329"/>
      <c r="Z44" s="329"/>
    </row>
    <row r="45" ht="40.5" hidden="1" spans="1:26">
      <c r="A45" s="272" t="s">
        <v>34</v>
      </c>
      <c r="B45" s="270" t="str">
        <f>"包间隔(不包括12B最小值的部分 范围:0-"&amp;B8</f>
        <v>包间隔(不包括12B最小值的部分 范围:0-132454</v>
      </c>
      <c r="C45" s="294">
        <v>0</v>
      </c>
      <c r="F45" s="293"/>
      <c r="L45" s="272" t="s">
        <v>229</v>
      </c>
      <c r="M45" s="270" t="s">
        <v>230</v>
      </c>
      <c r="N45" s="270" t="s">
        <v>231</v>
      </c>
      <c r="O45" s="75">
        <v>14</v>
      </c>
      <c r="P45" s="304" t="s">
        <v>182</v>
      </c>
      <c r="R45" s="90"/>
      <c r="S45" s="329"/>
      <c r="T45" s="329"/>
      <c r="U45" s="329"/>
      <c r="V45" s="329"/>
      <c r="Y45" s="329"/>
      <c r="Z45" s="329"/>
    </row>
    <row r="46" ht="27" hidden="1" spans="1:26">
      <c r="A46" s="295" t="s">
        <v>232</v>
      </c>
      <c r="B46" s="289" t="s">
        <v>233</v>
      </c>
      <c r="C46" s="296">
        <v>180000</v>
      </c>
      <c r="F46" s="293"/>
      <c r="L46" s="272" t="s">
        <v>234</v>
      </c>
      <c r="M46" s="270" t="s">
        <v>235</v>
      </c>
      <c r="N46" s="270" t="s">
        <v>236</v>
      </c>
      <c r="O46" s="75">
        <v>20</v>
      </c>
      <c r="P46" s="304" t="s">
        <v>182</v>
      </c>
      <c r="R46" s="90"/>
      <c r="S46" s="329"/>
      <c r="T46" s="329"/>
      <c r="U46" s="329"/>
      <c r="V46" s="329"/>
      <c r="Y46" s="329"/>
      <c r="Z46" s="329"/>
    </row>
    <row r="47" ht="40.5" hidden="1" spans="1:26">
      <c r="A47" s="272" t="s">
        <v>39</v>
      </c>
      <c r="B47" s="270" t="str">
        <f>"预留带宽 范围:0-"&amp;B13</f>
        <v>预留带宽 范围:0-98</v>
      </c>
      <c r="C47" s="294">
        <v>10</v>
      </c>
      <c r="F47" s="293"/>
      <c r="L47" s="272" t="s">
        <v>237</v>
      </c>
      <c r="M47" s="270" t="s">
        <v>238</v>
      </c>
      <c r="N47" s="270" t="s">
        <v>239</v>
      </c>
      <c r="O47" s="75">
        <v>8</v>
      </c>
      <c r="P47" s="304" t="s">
        <v>182</v>
      </c>
      <c r="R47" s="90"/>
      <c r="S47" s="329"/>
      <c r="T47" s="329"/>
      <c r="U47" s="329"/>
      <c r="V47" s="329"/>
      <c r="Y47" s="329"/>
      <c r="Z47" s="329"/>
    </row>
    <row r="48" ht="81.75" hidden="1" spans="1:26">
      <c r="A48" s="297" t="s">
        <v>240</v>
      </c>
      <c r="B48" s="291" t="s">
        <v>241</v>
      </c>
      <c r="C48" s="298">
        <v>99</v>
      </c>
      <c r="F48" s="293"/>
      <c r="L48" s="272" t="s">
        <v>242</v>
      </c>
      <c r="M48" s="270" t="s">
        <v>243</v>
      </c>
      <c r="N48" s="270" t="s">
        <v>239</v>
      </c>
      <c r="O48" s="75">
        <v>8</v>
      </c>
      <c r="P48" s="304" t="s">
        <v>182</v>
      </c>
      <c r="R48" s="90"/>
      <c r="S48" s="329"/>
      <c r="T48" s="329"/>
      <c r="U48" s="329"/>
      <c r="V48" s="329"/>
      <c r="Y48" s="329"/>
      <c r="Z48" s="329"/>
    </row>
    <row r="49" ht="27" hidden="1" spans="1:26">
      <c r="A49" s="299" t="s">
        <v>244</v>
      </c>
      <c r="B49" s="300"/>
      <c r="C49" s="300"/>
      <c r="D49" s="301"/>
      <c r="F49" s="293"/>
      <c r="L49" s="272" t="s">
        <v>245</v>
      </c>
      <c r="M49" s="270" t="s">
        <v>246</v>
      </c>
      <c r="N49" s="270" t="s">
        <v>247</v>
      </c>
      <c r="O49" s="75">
        <v>4</v>
      </c>
      <c r="P49" s="304" t="s">
        <v>182</v>
      </c>
      <c r="R49" s="90"/>
      <c r="S49" s="329"/>
      <c r="T49" s="329"/>
      <c r="U49" s="329"/>
      <c r="V49" s="329"/>
      <c r="Y49" s="329"/>
      <c r="Z49" s="329"/>
    </row>
    <row r="50" ht="40.5" hidden="1" spans="1:26">
      <c r="A50" s="272" t="s">
        <v>248</v>
      </c>
      <c r="B50" s="270" t="s">
        <v>249</v>
      </c>
      <c r="C50" s="270">
        <v>0</v>
      </c>
      <c r="F50" s="293"/>
      <c r="L50" s="272" t="s">
        <v>250</v>
      </c>
      <c r="M50" s="270" t="s">
        <v>251</v>
      </c>
      <c r="N50" s="270" t="s">
        <v>252</v>
      </c>
      <c r="O50" s="75">
        <v>12</v>
      </c>
      <c r="P50" s="304" t="s">
        <v>182</v>
      </c>
      <c r="R50" s="90"/>
      <c r="S50" s="329"/>
      <c r="T50" s="329"/>
      <c r="U50" s="329"/>
      <c r="V50" s="329"/>
      <c r="Y50" s="329"/>
      <c r="Z50" s="329"/>
    </row>
    <row r="51" ht="135" hidden="1" spans="1:26">
      <c r="A51" s="272" t="s">
        <v>253</v>
      </c>
      <c r="B51" s="270" t="s">
        <v>254</v>
      </c>
      <c r="C51" s="270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9</v>
      </c>
      <c r="F51" s="293"/>
      <c r="L51" s="272" t="s">
        <v>255</v>
      </c>
      <c r="M51" s="280" t="s">
        <v>256</v>
      </c>
      <c r="N51" s="270" t="s">
        <v>257</v>
      </c>
      <c r="O51" s="75">
        <f>O46+O47+O48</f>
        <v>36</v>
      </c>
      <c r="P51" s="304" t="s">
        <v>182</v>
      </c>
      <c r="R51" s="90"/>
      <c r="S51" s="329"/>
      <c r="T51" s="329"/>
      <c r="U51" s="329"/>
      <c r="V51" s="329"/>
      <c r="Y51" s="329"/>
      <c r="Z51" s="329"/>
    </row>
    <row r="52" ht="108" hidden="1" spans="6:26">
      <c r="F52" s="293"/>
      <c r="L52" s="272" t="s">
        <v>258</v>
      </c>
      <c r="M52" s="280" t="s">
        <v>259</v>
      </c>
      <c r="N52" s="270" t="s">
        <v>260</v>
      </c>
      <c r="O52" s="75">
        <f>O43+O44+O45+O49</f>
        <v>26</v>
      </c>
      <c r="P52" s="304" t="s">
        <v>182</v>
      </c>
      <c r="R52" s="90"/>
      <c r="S52" s="329"/>
      <c r="T52" s="329"/>
      <c r="U52" s="329"/>
      <c r="V52" s="329"/>
      <c r="Y52" s="329"/>
      <c r="Z52" s="329"/>
    </row>
    <row r="53" ht="54" hidden="1" spans="6:26">
      <c r="F53" s="293"/>
      <c r="L53" s="314" t="s">
        <v>261</v>
      </c>
      <c r="M53" s="315" t="s">
        <v>262</v>
      </c>
      <c r="N53" s="315" t="s">
        <v>263</v>
      </c>
      <c r="O53" s="316">
        <f>64-O45-O49-O51</f>
        <v>10</v>
      </c>
      <c r="P53" s="317" t="s">
        <v>182</v>
      </c>
      <c r="R53" s="90"/>
      <c r="S53" s="329"/>
      <c r="T53" s="329"/>
      <c r="U53" s="329"/>
      <c r="V53" s="329"/>
      <c r="Y53" s="329"/>
      <c r="Z53" s="329"/>
    </row>
    <row r="54" hidden="1" customHeight="1" spans="1:26">
      <c r="A54" s="264"/>
      <c r="B54" s="264"/>
      <c r="C54" s="264"/>
      <c r="D54" s="264"/>
      <c r="F54" s="293"/>
      <c r="L54" s="47" t="s">
        <v>264</v>
      </c>
      <c r="M54" s="24"/>
      <c r="N54" s="24"/>
      <c r="O54" s="24"/>
      <c r="P54" s="48"/>
      <c r="R54" s="90"/>
      <c r="S54" s="329"/>
      <c r="T54" s="329"/>
      <c r="U54" s="329"/>
      <c r="V54" s="329"/>
      <c r="Y54" s="329"/>
      <c r="Z54" s="329"/>
    </row>
    <row r="55" ht="27" hidden="1" spans="1:16">
      <c r="A55" s="264"/>
      <c r="B55" s="264"/>
      <c r="C55" s="264"/>
      <c r="D55" s="264"/>
      <c r="F55" s="293"/>
      <c r="L55" s="43" t="s">
        <v>49</v>
      </c>
      <c r="M55" s="23" t="s">
        <v>50</v>
      </c>
      <c r="N55" s="23" t="s">
        <v>51</v>
      </c>
      <c r="O55" s="23" t="s">
        <v>62</v>
      </c>
      <c r="P55" s="80" t="s">
        <v>53</v>
      </c>
    </row>
    <row r="56" ht="67.5" hidden="1" spans="1:16">
      <c r="A56" s="264"/>
      <c r="B56" s="264"/>
      <c r="C56" s="264"/>
      <c r="D56" s="264"/>
      <c r="F56" s="293"/>
      <c r="L56" s="272" t="s">
        <v>180</v>
      </c>
      <c r="M56" s="270" t="s">
        <v>265</v>
      </c>
      <c r="N56" s="270" t="s">
        <v>266</v>
      </c>
      <c r="O56" s="75">
        <f>IF(D38=0,36,12)</f>
        <v>36</v>
      </c>
      <c r="P56" s="304" t="s">
        <v>182</v>
      </c>
    </row>
    <row r="57" ht="81" hidden="1" spans="1:16">
      <c r="A57" s="264"/>
      <c r="B57" s="264"/>
      <c r="C57" s="264"/>
      <c r="D57" s="264"/>
      <c r="F57" s="293"/>
      <c r="L57" s="272" t="s">
        <v>188</v>
      </c>
      <c r="M57" s="270" t="s">
        <v>267</v>
      </c>
      <c r="N57" s="270" t="s">
        <v>268</v>
      </c>
      <c r="O57" s="75">
        <v>10</v>
      </c>
      <c r="P57" s="304" t="s">
        <v>182</v>
      </c>
    </row>
    <row r="58" ht="67.5" hidden="1" spans="6:16">
      <c r="F58" s="293"/>
      <c r="L58" s="272" t="s">
        <v>196</v>
      </c>
      <c r="M58" s="270" t="s">
        <v>269</v>
      </c>
      <c r="N58" s="270" t="s">
        <v>198</v>
      </c>
      <c r="O58" s="311">
        <f>B2*B3*IF(B5=8,1,2)</f>
        <v>12288000</v>
      </c>
      <c r="P58" s="304" t="s">
        <v>182</v>
      </c>
    </row>
    <row r="59" ht="81" hidden="1" spans="6:16">
      <c r="F59" s="293"/>
      <c r="L59" s="272" t="s">
        <v>270</v>
      </c>
      <c r="M59" s="270" t="s">
        <v>271</v>
      </c>
      <c r="N59" s="318" t="s">
        <v>272</v>
      </c>
      <c r="O59" s="311">
        <f>O58+32*D38</f>
        <v>12288000</v>
      </c>
      <c r="P59" s="304" t="s">
        <v>182</v>
      </c>
    </row>
    <row r="60" ht="54" hidden="1" spans="6:16">
      <c r="F60" s="293"/>
      <c r="L60" s="272" t="s">
        <v>273</v>
      </c>
      <c r="M60" s="270" t="s">
        <v>274</v>
      </c>
      <c r="N60" s="270" t="s">
        <v>275</v>
      </c>
      <c r="O60" s="96">
        <f>INT(O59/(B6-O51))</f>
        <v>8393</v>
      </c>
      <c r="P60" s="304"/>
    </row>
    <row r="61" ht="54" hidden="1" spans="6:16">
      <c r="F61" s="293"/>
      <c r="L61" s="272" t="s">
        <v>276</v>
      </c>
      <c r="M61" s="270" t="s">
        <v>277</v>
      </c>
      <c r="N61" s="270" t="s">
        <v>278</v>
      </c>
      <c r="O61" s="96">
        <f>O59-(B6-O51)*O60</f>
        <v>648</v>
      </c>
      <c r="P61" s="304" t="s">
        <v>182</v>
      </c>
    </row>
    <row r="62" ht="54" hidden="1" spans="6:16">
      <c r="F62" s="293"/>
      <c r="L62" s="82" t="s">
        <v>279</v>
      </c>
      <c r="M62" s="74" t="s">
        <v>280</v>
      </c>
      <c r="N62" s="74" t="s">
        <v>281</v>
      </c>
      <c r="O62" s="75">
        <f>IF(MOD(O58,(B6-O51))=0,0,1)</f>
        <v>1</v>
      </c>
      <c r="P62" s="304"/>
    </row>
    <row r="63" ht="135" hidden="1" spans="6:16">
      <c r="F63" s="293"/>
      <c r="L63" s="272" t="s">
        <v>282</v>
      </c>
      <c r="M63" s="270" t="s">
        <v>283</v>
      </c>
      <c r="N63" s="74" t="s">
        <v>284</v>
      </c>
      <c r="O63" s="96">
        <f>IF(O61&lt;O53,O53,O61)</f>
        <v>648</v>
      </c>
      <c r="P63" s="304" t="s">
        <v>182</v>
      </c>
    </row>
    <row r="64" ht="162" hidden="1" spans="6:16">
      <c r="F64" s="293"/>
      <c r="L64" s="82" t="s">
        <v>285</v>
      </c>
      <c r="M64" s="74" t="s">
        <v>286</v>
      </c>
      <c r="N64" s="74" t="s">
        <v>287</v>
      </c>
      <c r="O64" s="96">
        <f>O52+O51+O56</f>
        <v>98</v>
      </c>
      <c r="P64" s="304" t="s">
        <v>182</v>
      </c>
    </row>
    <row r="65" ht="175.5" hidden="1" spans="6:16">
      <c r="F65" s="293"/>
      <c r="L65" s="82" t="s">
        <v>288</v>
      </c>
      <c r="M65" s="74" t="s">
        <v>289</v>
      </c>
      <c r="N65" s="74" t="s">
        <v>287</v>
      </c>
      <c r="O65" s="96">
        <f>O52+O51+O57</f>
        <v>72</v>
      </c>
      <c r="P65" s="304" t="s">
        <v>182</v>
      </c>
    </row>
    <row r="66" ht="175.5" hidden="1" spans="6:16">
      <c r="F66" s="293"/>
      <c r="L66" s="82" t="s">
        <v>290</v>
      </c>
      <c r="M66" s="74" t="s">
        <v>291</v>
      </c>
      <c r="N66" s="74" t="s">
        <v>292</v>
      </c>
      <c r="O66" s="96">
        <f>O60*(B6+O52)+O62*(O63+O52+O51)</f>
        <v>12808428</v>
      </c>
      <c r="P66" s="304" t="s">
        <v>182</v>
      </c>
    </row>
    <row r="67" ht="297" hidden="1" spans="6:16">
      <c r="F67" s="293"/>
      <c r="L67" s="82" t="s">
        <v>293</v>
      </c>
      <c r="M67" s="74" t="s">
        <v>294</v>
      </c>
      <c r="N67" s="74" t="s">
        <v>295</v>
      </c>
      <c r="O67" s="96">
        <f>(2+O62+O60)*(B7+O50)</f>
        <v>100752</v>
      </c>
      <c r="P67" s="304" t="s">
        <v>182</v>
      </c>
    </row>
    <row r="68" ht="135" hidden="1" spans="6:16">
      <c r="F68" s="293"/>
      <c r="L68" s="272" t="s">
        <v>203</v>
      </c>
      <c r="M68" s="270" t="s">
        <v>296</v>
      </c>
      <c r="N68" s="288" t="s">
        <v>297</v>
      </c>
      <c r="O68" s="311">
        <f>O64+O65+O66+O67</f>
        <v>12909350</v>
      </c>
      <c r="P68" s="304" t="s">
        <v>182</v>
      </c>
    </row>
    <row r="69" ht="67.5" hidden="1" spans="6:16">
      <c r="F69" s="293"/>
      <c r="L69" s="30" t="s">
        <v>298</v>
      </c>
      <c r="M69" s="25" t="s">
        <v>299</v>
      </c>
      <c r="N69" s="25" t="s">
        <v>300</v>
      </c>
      <c r="O69" s="54">
        <f>INT(B11*(100-B12)/80)</f>
        <v>1125</v>
      </c>
      <c r="P69" s="51" t="s">
        <v>301</v>
      </c>
    </row>
    <row r="70" ht="67.5" hidden="1" spans="6:16">
      <c r="F70" s="293"/>
      <c r="L70" s="30" t="s">
        <v>302</v>
      </c>
      <c r="M70" s="288" t="s">
        <v>303</v>
      </c>
      <c r="N70" s="25" t="s">
        <v>304</v>
      </c>
      <c r="O70" s="54">
        <f>ROUNDUP(ROUNDUP(O68*1000/O69,0)*10/I22,0)</f>
        <v>5333</v>
      </c>
      <c r="P70" s="330" t="s">
        <v>109</v>
      </c>
    </row>
    <row r="71" ht="81" hidden="1" spans="6:16">
      <c r="F71" s="293"/>
      <c r="L71" s="30" t="s">
        <v>305</v>
      </c>
      <c r="M71" s="288" t="s">
        <v>306</v>
      </c>
      <c r="N71" s="25" t="s">
        <v>307</v>
      </c>
      <c r="O71" s="54">
        <f>ROUNDUP((O59+O56+O57)*10*1000/O33/I22,0)</f>
        <v>5163</v>
      </c>
      <c r="P71" s="330" t="s">
        <v>109</v>
      </c>
    </row>
    <row r="72" ht="68.25" hidden="1" spans="6:16">
      <c r="F72" s="293"/>
      <c r="L72" s="331" t="s">
        <v>308</v>
      </c>
      <c r="M72" s="332" t="s">
        <v>144</v>
      </c>
      <c r="N72" s="68" t="s">
        <v>309</v>
      </c>
      <c r="O72" s="69">
        <f>MAX(O70,O71)</f>
        <v>5333</v>
      </c>
      <c r="P72" s="333" t="s">
        <v>109</v>
      </c>
    </row>
    <row r="73" hidden="1" spans="6:6">
      <c r="F73" s="293"/>
    </row>
    <row r="74" hidden="1" spans="6:6">
      <c r="F74" s="293"/>
    </row>
    <row r="75" hidden="1"/>
    <row r="76" hidden="1"/>
  </sheetData>
  <sheetProtection algorithmName="SHA-512" hashValue="+1ecXECWmDDui2Ta0zrgowP79aHYudzXJqSbrakKZoG6k3aeJvLy4ipS4zXYYftdUgfyHDraVgDRtUqldgxpaQ==" saltValue="TLwNFIROaUp3/SY0DNkqsA==" spinCount="100000" sheet="1" objects="1" scenarios="1"/>
  <mergeCells count="23">
    <mergeCell ref="F19:J19"/>
    <mergeCell ref="L19:P19"/>
    <mergeCell ref="A20:D20"/>
    <mergeCell ref="L20:P20"/>
    <mergeCell ref="F21:J21"/>
    <mergeCell ref="A22:D22"/>
    <mergeCell ref="A24:D24"/>
    <mergeCell ref="F25:J25"/>
    <mergeCell ref="A27:D27"/>
    <mergeCell ref="R27:V27"/>
    <mergeCell ref="A30:D30"/>
    <mergeCell ref="F32:J32"/>
    <mergeCell ref="L34:P34"/>
    <mergeCell ref="A35:D35"/>
    <mergeCell ref="A39:D39"/>
    <mergeCell ref="L41:P41"/>
    <mergeCell ref="A42:D42"/>
    <mergeCell ref="A49:D49"/>
    <mergeCell ref="L54:P54"/>
    <mergeCell ref="S22:S23"/>
    <mergeCell ref="S24:S25"/>
    <mergeCell ref="V22:V23"/>
    <mergeCell ref="V24:V25"/>
  </mergeCells>
  <dataValidations count="17"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allowBlank="1" showInputMessage="1" showErrorMessage="1" error="输入范围是64~1024，步长为2" sqref="A1:B1"/>
    <dataValidation type="whole" operator="between" allowBlank="1" showInputMessage="1" showErrorMessage="1" sqref="D41">
      <formula1>35000000</formula1>
      <formula2>400000000</formula2>
    </dataValidation>
    <dataValidation type="custom" allowBlank="1" showInputMessage="1" showErrorMessage="1" errorTitle="Invalid input value" error="input range is 64~3000,step is 2" sqref="B3">
      <formula1>AND((B3&lt;=3000),(B3&gt;=64),(MOD(B3,2)=0))</formula1>
    </dataValidation>
    <dataValidation type="custom" allowBlank="1" showInputMessage="1" showErrorMessage="1" error="please input 8 or 12" sqref="B5">
      <formula1>OR((B5=8),(B5=12))</formula1>
    </dataValidation>
    <dataValidation type="whole" operator="between" allowBlank="1" showInputMessage="1" showErrorMessage="1" errorTitle="out of range " error="input range is 36us-1s" sqref="B4">
      <formula1>36</formula1>
      <formula2>1000000</formula2>
    </dataValidation>
    <dataValidation type="whole" operator="between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please input 1000 or 100" sqref="B11">
      <formula1>OR((B11=1000),(B11=100))</formula1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operator="between" allowBlank="1" showInputMessage="1" showErrorMessage="1" sqref="B12">
      <formula1>0</formula1>
      <formula2>B13</formula2>
    </dataValidation>
    <dataValidation type="whole" operator="between" allowBlank="1" showInputMessage="1" showErrorMessage="1" errorTitle="超出范围" error="曝光延迟的范围是0-5000us" sqref="D26">
      <formula1>0</formula1>
      <formula2>5000</formula2>
    </dataValidation>
    <dataValidation type="list" allowBlank="1" showInputMessage="1" showErrorMessage="1" errorTitle="超出范围" error="0:关闭&#10;1:打开" sqref="D40">
      <formula1>"0,1"</formula1>
    </dataValidation>
    <dataValidation type="whole" operator="between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7"/>
  <sheetViews>
    <sheetView workbookViewId="0">
      <selection activeCell="B8" sqref="B8"/>
    </sheetView>
  </sheetViews>
  <sheetFormatPr defaultColWidth="9" defaultRowHeight="13.5"/>
  <cols>
    <col min="1" max="1" width="29" style="2" customWidth="1"/>
    <col min="2" max="2" width="19" style="2" customWidth="1"/>
    <col min="3" max="3" width="10" style="2" customWidth="1"/>
    <col min="4" max="8" width="6.125" style="2" customWidth="1"/>
    <col min="9" max="9" width="15.125" style="2" customWidth="1"/>
    <col min="10" max="10" width="26" style="2" customWidth="1"/>
    <col min="11" max="11" width="13.25" style="2" customWidth="1"/>
    <col min="12" max="12" width="7.5" style="2" customWidth="1"/>
    <col min="13" max="13" width="4.5" style="2" customWidth="1"/>
    <col min="14" max="14" width="19.625" style="2" customWidth="1"/>
    <col min="15" max="15" width="29" style="2" customWidth="1"/>
    <col min="16" max="16" width="10.125" style="2" customWidth="1"/>
    <col min="17" max="17" width="9.625" style="2" customWidth="1"/>
    <col min="18" max="18" width="4.875" style="2" customWidth="1"/>
    <col min="19" max="19" width="14.5" style="2" customWidth="1"/>
    <col min="20" max="20" width="22.5" style="2" customWidth="1"/>
    <col min="21" max="22" width="9" style="2" customWidth="1"/>
    <col min="23" max="16384" width="9" style="2"/>
  </cols>
  <sheetData>
    <row r="1" customHeight="1" spans="1:2">
      <c r="A1" s="3"/>
      <c r="B1" s="4"/>
    </row>
    <row r="2" spans="1:2">
      <c r="A2" s="3" t="s">
        <v>29</v>
      </c>
      <c r="B2" s="260">
        <v>4096</v>
      </c>
    </row>
    <row r="3" ht="18" customHeight="1" spans="1:2">
      <c r="A3" s="3" t="s">
        <v>30</v>
      </c>
      <c r="B3" s="260">
        <v>2160</v>
      </c>
    </row>
    <row r="4" ht="20.25" customHeight="1" spans="1:2">
      <c r="A4" s="3" t="s">
        <v>31</v>
      </c>
      <c r="B4" s="260">
        <v>60000</v>
      </c>
    </row>
    <row r="5" ht="19.5" customHeight="1" spans="1:2">
      <c r="A5" s="3" t="s">
        <v>32</v>
      </c>
      <c r="B5" s="260">
        <v>8</v>
      </c>
    </row>
    <row r="6" ht="18.75" customHeight="1" spans="1:2">
      <c r="A6" s="3" t="s">
        <v>33</v>
      </c>
      <c r="B6" s="260">
        <v>1500</v>
      </c>
    </row>
    <row r="7" ht="16.5" customHeight="1" spans="1:2">
      <c r="A7" s="3" t="s">
        <v>34</v>
      </c>
      <c r="B7" s="260">
        <v>0</v>
      </c>
    </row>
    <row r="8" spans="1:2">
      <c r="A8" s="3" t="s">
        <v>35</v>
      </c>
      <c r="B8" s="261">
        <f>IF((ROUNDDOWN((I40-(62+B6-36)*O60-62-O61-170)/(O60+3),0)-12)&gt;180000,180000,ROUNDDOWN((I40-(62+B6-36)*O60-62-O61-170)/(O60+3),0)-12)</f>
        <v>180000</v>
      </c>
    </row>
    <row r="9" ht="24" customHeight="1" spans="1:2">
      <c r="A9" s="3" t="s">
        <v>36</v>
      </c>
      <c r="B9" s="260">
        <v>13</v>
      </c>
    </row>
    <row r="10" ht="23.25" customHeight="1" spans="1:2">
      <c r="A10" s="3" t="s">
        <v>37</v>
      </c>
      <c r="B10" s="260">
        <v>0</v>
      </c>
    </row>
    <row r="11" ht="18.75" customHeight="1" spans="1:2">
      <c r="A11" s="3" t="s">
        <v>38</v>
      </c>
      <c r="B11" s="260">
        <v>1000</v>
      </c>
    </row>
    <row r="12" ht="19.5" customHeight="1" spans="1:2">
      <c r="A12" s="3" t="s">
        <v>39</v>
      </c>
      <c r="B12" s="260">
        <v>10</v>
      </c>
    </row>
    <row r="13" spans="1:2">
      <c r="A13" s="3" t="s">
        <v>40</v>
      </c>
      <c r="B13" s="261">
        <f>IF((100-ROUNDDOWN(I41*10/(1250000*B11/10),0)-1)&lt;0,0,(100-ROUNDDOWN(I41*10/(1250000*B11/10),0)-1))</f>
        <v>99</v>
      </c>
    </row>
    <row r="14" ht="14.25" hidden="1" customHeight="1" spans="1:2">
      <c r="A14" s="3"/>
      <c r="B14" s="261">
        <f>IF(O24="GIGE",INT(INT(INT(INT(B2*INT(1000000000/I23)/10)*IF(B5=8,1,2)/10)*B3/10)*10/(100-B12))*10,"-")</f>
        <v>118957440</v>
      </c>
    </row>
    <row r="15" ht="14.25" customHeight="1" spans="1:2">
      <c r="A15" s="3"/>
      <c r="B15" s="261"/>
    </row>
    <row r="16" ht="14.25" customHeight="1" spans="1:2">
      <c r="A16" s="15"/>
      <c r="B16" s="262"/>
    </row>
    <row r="17" ht="14.25" customHeight="1" spans="1:2">
      <c r="A17" s="15" t="s">
        <v>41</v>
      </c>
      <c r="B17" s="263">
        <f>1000000/I23</f>
        <v>12.1011169330929</v>
      </c>
    </row>
    <row r="18" ht="41.25" customHeight="1"/>
    <row r="19" ht="41.25" hidden="1" spans="1:23">
      <c r="A19" s="17" t="s">
        <v>42</v>
      </c>
      <c r="B19" s="17" t="s">
        <v>43</v>
      </c>
      <c r="C19" s="18" t="s">
        <v>310</v>
      </c>
      <c r="D19" s="264"/>
      <c r="F19" s="41" t="s">
        <v>45</v>
      </c>
      <c r="G19" s="22"/>
      <c r="H19" s="22"/>
      <c r="I19" s="22"/>
      <c r="J19" s="42"/>
      <c r="L19" s="41" t="s">
        <v>46</v>
      </c>
      <c r="M19" s="22"/>
      <c r="N19" s="22"/>
      <c r="O19" s="22"/>
      <c r="P19" s="42"/>
      <c r="R19" s="47" t="s">
        <v>47</v>
      </c>
      <c r="S19" s="24"/>
      <c r="T19" s="24"/>
      <c r="U19" s="24"/>
      <c r="V19" s="48"/>
      <c r="W19" s="319"/>
    </row>
    <row r="20" ht="27" hidden="1" spans="1:23">
      <c r="A20" s="265" t="s">
        <v>48</v>
      </c>
      <c r="B20" s="266"/>
      <c r="C20" s="266"/>
      <c r="D20" s="267"/>
      <c r="F20" s="268" t="s">
        <v>49</v>
      </c>
      <c r="G20" s="23" t="s">
        <v>50</v>
      </c>
      <c r="H20" s="44" t="s">
        <v>51</v>
      </c>
      <c r="I20" s="23" t="s">
        <v>52</v>
      </c>
      <c r="J20" s="302" t="s">
        <v>53</v>
      </c>
      <c r="L20" s="47" t="s">
        <v>54</v>
      </c>
      <c r="M20" s="24"/>
      <c r="N20" s="24"/>
      <c r="O20" s="24"/>
      <c r="P20" s="48"/>
      <c r="R20" s="43" t="s">
        <v>55</v>
      </c>
      <c r="S20" s="23" t="s">
        <v>50</v>
      </c>
      <c r="T20" s="23" t="s">
        <v>56</v>
      </c>
      <c r="U20" s="23" t="s">
        <v>57</v>
      </c>
      <c r="V20" s="23" t="s">
        <v>51</v>
      </c>
      <c r="W20" s="46" t="s">
        <v>58</v>
      </c>
    </row>
    <row r="21" ht="40.5" hidden="1" spans="1:23">
      <c r="A21" s="43" t="s">
        <v>49</v>
      </c>
      <c r="B21" s="23" t="s">
        <v>50</v>
      </c>
      <c r="C21" s="23" t="s">
        <v>59</v>
      </c>
      <c r="D21" s="46" t="s">
        <v>60</v>
      </c>
      <c r="F21" s="47" t="s">
        <v>61</v>
      </c>
      <c r="G21" s="24"/>
      <c r="H21" s="24"/>
      <c r="I21" s="24"/>
      <c r="J21" s="48"/>
      <c r="L21" s="43" t="s">
        <v>49</v>
      </c>
      <c r="M21" s="23" t="s">
        <v>50</v>
      </c>
      <c r="N21" s="23" t="s">
        <v>51</v>
      </c>
      <c r="O21" s="23" t="s">
        <v>62</v>
      </c>
      <c r="P21" s="80" t="s">
        <v>53</v>
      </c>
      <c r="R21" s="272" t="s">
        <v>63</v>
      </c>
      <c r="S21" s="320" t="s">
        <v>64</v>
      </c>
      <c r="T21" s="318">
        <v>520</v>
      </c>
      <c r="U21" s="86" t="str">
        <f>"R"&amp;T21&amp;"(R0x"&amp;DEC2HEX(T21)&amp;")"</f>
        <v>R520(R0x208)</v>
      </c>
      <c r="V21" s="270" t="s">
        <v>65</v>
      </c>
      <c r="W21" s="321">
        <v>1</v>
      </c>
    </row>
    <row r="22" ht="229.5" hidden="1" spans="1:23">
      <c r="A22" s="32" t="s">
        <v>66</v>
      </c>
      <c r="B22" s="29"/>
      <c r="C22" s="29"/>
      <c r="D22" s="57"/>
      <c r="F22" s="269" t="s">
        <v>67</v>
      </c>
      <c r="G22" s="270" t="s">
        <v>68</v>
      </c>
      <c r="H22" s="271" t="s">
        <v>69</v>
      </c>
      <c r="I22" s="303">
        <f>ROUNDUP(1000000*O28/O22,0)</f>
        <v>21520</v>
      </c>
      <c r="J22" s="304" t="s">
        <v>70</v>
      </c>
      <c r="L22" s="82"/>
      <c r="M22" s="82" t="s">
        <v>71</v>
      </c>
      <c r="N22" s="82" t="s">
        <v>72</v>
      </c>
      <c r="O22" s="75">
        <v>37500</v>
      </c>
      <c r="P22" s="304" t="s">
        <v>73</v>
      </c>
      <c r="R22" s="272" t="s">
        <v>74</v>
      </c>
      <c r="S22" s="322" t="s">
        <v>75</v>
      </c>
      <c r="T22" s="318">
        <v>1298</v>
      </c>
      <c r="U22" s="86" t="str">
        <f>"R"&amp;T22&amp;"(R0x"&amp;DEC2HEX(T22)&amp;")"</f>
        <v>R1298(R0x512)</v>
      </c>
      <c r="V22" s="323" t="s">
        <v>76</v>
      </c>
      <c r="W22" s="321" t="str">
        <f>DEC2HEX(D32+O27-(HEX2DEC(W23)*256))</f>
        <v>8</v>
      </c>
    </row>
    <row r="23" ht="81" hidden="1" spans="1:23">
      <c r="A23" s="272" t="s">
        <v>77</v>
      </c>
      <c r="B23" s="270" t="s">
        <v>78</v>
      </c>
      <c r="C23" s="270">
        <v>8</v>
      </c>
      <c r="F23" s="269" t="s">
        <v>79</v>
      </c>
      <c r="G23" s="270" t="s">
        <v>80</v>
      </c>
      <c r="H23" s="271" t="s">
        <v>81</v>
      </c>
      <c r="I23" s="305">
        <f>ROUNDUP(MAX(I27,I28,I30,I31)*I22/1000,0)</f>
        <v>82637</v>
      </c>
      <c r="J23" s="304" t="s">
        <v>82</v>
      </c>
      <c r="L23" s="82" t="s">
        <v>83</v>
      </c>
      <c r="M23" s="82" t="s">
        <v>84</v>
      </c>
      <c r="N23" s="82" t="s">
        <v>85</v>
      </c>
      <c r="O23" s="75" t="str">
        <f>IF(C19="mars-1231-32u3x","IMX253",IF(OR(C19="mars-1230-9gx",C19="mars-1230-23u3x"),"IMX304",IF(C19="mars-881-44u3x","IMX255",IF(OR(C19="mars-880-13gx",C19="mars-880-32u3x"),"IMX267","-"))))</f>
        <v>IMX267</v>
      </c>
      <c r="P23" s="82" t="s">
        <v>85</v>
      </c>
      <c r="R23" s="272" t="s">
        <v>86</v>
      </c>
      <c r="S23" s="320"/>
      <c r="T23" s="318">
        <v>1299</v>
      </c>
      <c r="U23" s="86" t="str">
        <f>"R"&amp;T23&amp;"(R0x"&amp;DEC2HEX(T23)&amp;")"</f>
        <v>R1299(R0x513)</v>
      </c>
      <c r="V23" s="324"/>
      <c r="W23" s="321" t="str">
        <f>DEC2HEX(INT((D32+O27)/256))</f>
        <v>0</v>
      </c>
    </row>
    <row r="24" ht="67.5" hidden="1" spans="1:23">
      <c r="A24" s="32" t="s">
        <v>87</v>
      </c>
      <c r="B24" s="29"/>
      <c r="C24" s="29"/>
      <c r="D24" s="57"/>
      <c r="F24" s="269" t="s">
        <v>88</v>
      </c>
      <c r="G24" s="270" t="s">
        <v>61</v>
      </c>
      <c r="H24" s="271" t="s">
        <v>89</v>
      </c>
      <c r="J24" s="304" t="s">
        <v>90</v>
      </c>
      <c r="L24" s="82" t="s">
        <v>91</v>
      </c>
      <c r="M24" s="82" t="s">
        <v>92</v>
      </c>
      <c r="N24" s="82" t="s">
        <v>85</v>
      </c>
      <c r="O24" s="75" t="str">
        <f>IF(OR(C19="mars-1230-9gx",C19="mars-880-13gx"),"GIGE",IF(OR(C19="mars-1231-32u3x",C19="mars-1230-23u3x",C19="mars-881-44u3x",C19="mars-880-32u3x"),"U3","-"))</f>
        <v>GIGE</v>
      </c>
      <c r="P24" s="82" t="s">
        <v>85</v>
      </c>
      <c r="R24" s="272" t="s">
        <v>93</v>
      </c>
      <c r="S24" s="322" t="s">
        <v>94</v>
      </c>
      <c r="T24" s="318">
        <v>1302</v>
      </c>
      <c r="U24" s="86" t="str">
        <f t="shared" ref="U24:U26" si="0">"R"&amp;T24&amp;"(R0x"&amp;DEC2HEX(T24)&amp;")"</f>
        <v>R1302(R0x516)</v>
      </c>
      <c r="V24" s="323" t="s">
        <v>95</v>
      </c>
      <c r="W24" s="321" t="str">
        <f>DEC2HEX(B3-HEX2DEC(W25)*256)</f>
        <v>70</v>
      </c>
    </row>
    <row r="25" ht="189" hidden="1" spans="1:23">
      <c r="A25" s="272" t="s">
        <v>96</v>
      </c>
      <c r="B25" s="270" t="s">
        <v>97</v>
      </c>
      <c r="C25" s="270" t="str">
        <f>IF(C19="mars-1230-23u3x","40000",IF(OR(C19="mars-1230-9gx",C19="mars-880-13gx"),"60000",IF(OR(C19="mars-1231-32u3x",C19="mars-880-32u3x"),"30000",IF(C19="mars-881-44u3x","20000","-"))))</f>
        <v>60000</v>
      </c>
      <c r="F25" s="47" t="s">
        <v>98</v>
      </c>
      <c r="G25" s="24"/>
      <c r="H25" s="24"/>
      <c r="I25" s="24"/>
      <c r="J25" s="48"/>
      <c r="L25" s="272" t="s">
        <v>99</v>
      </c>
      <c r="M25" s="270" t="s">
        <v>100</v>
      </c>
      <c r="N25" s="74" t="s">
        <v>85</v>
      </c>
      <c r="O25" s="75">
        <v>8</v>
      </c>
      <c r="P25" s="304" t="s">
        <v>101</v>
      </c>
      <c r="R25" s="272" t="s">
        <v>102</v>
      </c>
      <c r="S25" s="320"/>
      <c r="T25" s="318">
        <v>1303</v>
      </c>
      <c r="U25" s="86" t="str">
        <f t="shared" si="0"/>
        <v>R1303(R0x517)</v>
      </c>
      <c r="V25" s="324"/>
      <c r="W25" s="321" t="str">
        <f>DEC2HEX(INT(B3/256))</f>
        <v>8</v>
      </c>
    </row>
    <row r="26" ht="40.5" hidden="1" spans="1:23">
      <c r="A26" s="272" t="s">
        <v>103</v>
      </c>
      <c r="B26" s="270" t="s">
        <v>104</v>
      </c>
      <c r="C26" s="270">
        <v>0</v>
      </c>
      <c r="D26" s="273">
        <v>0</v>
      </c>
      <c r="F26" s="269"/>
      <c r="G26" s="270"/>
      <c r="H26" s="25"/>
      <c r="I26" s="54"/>
      <c r="J26" s="306"/>
      <c r="L26" s="272"/>
      <c r="M26" s="270"/>
      <c r="N26" s="74"/>
      <c r="O26" s="75"/>
      <c r="P26" s="304"/>
      <c r="R26" s="272" t="s">
        <v>63</v>
      </c>
      <c r="S26" s="320" t="s">
        <v>64</v>
      </c>
      <c r="T26" s="318">
        <v>520</v>
      </c>
      <c r="U26" s="86" t="str">
        <f t="shared" si="0"/>
        <v>R520(R0x208)</v>
      </c>
      <c r="V26" s="270" t="s">
        <v>65</v>
      </c>
      <c r="W26" s="321">
        <v>0</v>
      </c>
    </row>
    <row r="27" ht="189" hidden="1" spans="1:23">
      <c r="A27" s="32" t="s">
        <v>105</v>
      </c>
      <c r="B27" s="29"/>
      <c r="C27" s="29"/>
      <c r="D27" s="57"/>
      <c r="F27" s="269" t="s">
        <v>106</v>
      </c>
      <c r="G27" s="270" t="s">
        <v>107</v>
      </c>
      <c r="H27" s="25" t="s">
        <v>108</v>
      </c>
      <c r="I27" s="54">
        <f>I39+O30</f>
        <v>2215</v>
      </c>
      <c r="J27" s="306" t="s">
        <v>109</v>
      </c>
      <c r="L27" s="272" t="s">
        <v>110</v>
      </c>
      <c r="M27" s="270" t="s">
        <v>100</v>
      </c>
      <c r="N27" s="74" t="s">
        <v>111</v>
      </c>
      <c r="O27" s="75">
        <f>IF(OR(O23="IMX253",O23="IMX304"),4,IF(OR(O23="IMX255",O23="IMX267"),8,"-"))</f>
        <v>8</v>
      </c>
      <c r="P27" s="304" t="s">
        <v>101</v>
      </c>
      <c r="R27" s="47" t="s">
        <v>112</v>
      </c>
      <c r="S27" s="24"/>
      <c r="T27" s="24"/>
      <c r="U27" s="24"/>
      <c r="V27" s="48"/>
      <c r="W27" s="319"/>
    </row>
    <row r="28" ht="283.5" hidden="1" spans="1:23">
      <c r="A28" s="272" t="s">
        <v>113</v>
      </c>
      <c r="B28" s="270" t="s">
        <v>114</v>
      </c>
      <c r="C28" s="270">
        <v>0</v>
      </c>
      <c r="D28" s="273">
        <v>0</v>
      </c>
      <c r="F28" s="274" t="s">
        <v>115</v>
      </c>
      <c r="G28" s="26" t="s">
        <v>116</v>
      </c>
      <c r="H28" s="26" t="s">
        <v>117</v>
      </c>
      <c r="I28" s="55">
        <f>I33+O31</f>
        <v>2800</v>
      </c>
      <c r="J28" s="307" t="s">
        <v>109</v>
      </c>
      <c r="L28" s="272" t="s">
        <v>118</v>
      </c>
      <c r="M28" s="270" t="s">
        <v>119</v>
      </c>
      <c r="N28" s="270" t="s">
        <v>120</v>
      </c>
      <c r="O28" s="75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304" t="s">
        <v>121</v>
      </c>
      <c r="R28" s="272" t="s">
        <v>122</v>
      </c>
      <c r="S28" s="270" t="s">
        <v>123</v>
      </c>
      <c r="T28" s="270"/>
      <c r="U28" s="270" t="str">
        <f>IF(O24="U3","0x1b0",IF(O24="GIGE","0x94","-"))</f>
        <v>0x94</v>
      </c>
      <c r="V28" s="270" t="s">
        <v>124</v>
      </c>
      <c r="W28" s="325" t="str">
        <f>IF(O24="U3",DEC2HEX(O28),IF(O24="GIGE",DEC2HEX(O28),"-"))</f>
        <v>327</v>
      </c>
    </row>
    <row r="29" ht="283.5" hidden="1" spans="1:23">
      <c r="A29" s="275"/>
      <c r="B29" s="276"/>
      <c r="C29" s="276"/>
      <c r="D29" s="277"/>
      <c r="F29" s="278"/>
      <c r="G29" s="74"/>
      <c r="H29" s="25"/>
      <c r="I29" s="54"/>
      <c r="J29" s="306"/>
      <c r="L29" s="272" t="s">
        <v>125</v>
      </c>
      <c r="M29" s="270" t="s">
        <v>126</v>
      </c>
      <c r="N29" s="270" t="s">
        <v>127</v>
      </c>
      <c r="O29" s="75">
        <f>IF(O24="GIGE",IF(O23="IMX253",678,IF(O23="IMX255",678,IF(O23="IMX304",807,IF(O23="IMX267",807,"-")))),"-")</f>
        <v>807</v>
      </c>
      <c r="P29" s="304" t="s">
        <v>121</v>
      </c>
      <c r="R29" s="272" t="s">
        <v>128</v>
      </c>
      <c r="S29" s="270" t="s">
        <v>129</v>
      </c>
      <c r="T29" s="270"/>
      <c r="U29" s="270" t="str">
        <f>IF(O23="U3","0x1b1",IF(O23="GIGE","0x95","-"))</f>
        <v>-</v>
      </c>
      <c r="V29" s="270" t="s">
        <v>130</v>
      </c>
      <c r="W29" s="321" t="e">
        <f>DEC2HEX(INT(#REF!/I21))</f>
        <v>#REF!</v>
      </c>
    </row>
    <row r="30" ht="409.5" hidden="1" spans="1:23">
      <c r="A30" s="32" t="s">
        <v>131</v>
      </c>
      <c r="B30" s="29"/>
      <c r="C30" s="29"/>
      <c r="D30" s="57"/>
      <c r="F30" s="269" t="s">
        <v>132</v>
      </c>
      <c r="G30" s="270" t="s">
        <v>133</v>
      </c>
      <c r="H30" s="270" t="s">
        <v>134</v>
      </c>
      <c r="I30" s="75">
        <f>ROUNDUP(((1000000000/B9)/I22)*B10,0)</f>
        <v>0</v>
      </c>
      <c r="J30" s="306" t="s">
        <v>109</v>
      </c>
      <c r="L30" s="272" t="s">
        <v>135</v>
      </c>
      <c r="M30" s="270" t="s">
        <v>136</v>
      </c>
      <c r="N30" s="74" t="s">
        <v>137</v>
      </c>
      <c r="O30" s="75">
        <f>IF(OR(O23="IMX253",O23="IMX255"),54,IF(OR(O23="IMX304",O23="IMX267"),34,"-"))</f>
        <v>34</v>
      </c>
      <c r="P30" s="83" t="s">
        <v>109</v>
      </c>
      <c r="R30" s="308" t="s">
        <v>138</v>
      </c>
      <c r="S30" s="26" t="s">
        <v>139</v>
      </c>
      <c r="T30" s="280"/>
      <c r="U30" s="280" t="str">
        <f>IF(O23="U3","0x1b4-0x1b5",IF(O24="GIGE","0x96","-"))</f>
        <v>0x96</v>
      </c>
      <c r="V30" s="280" t="s">
        <v>140</v>
      </c>
      <c r="W30" s="326" t="str">
        <f>DEC2HEX(I33)</f>
        <v>AE4</v>
      </c>
    </row>
    <row r="31" ht="409.5" hidden="1" spans="1:23">
      <c r="A31" s="272" t="s">
        <v>141</v>
      </c>
      <c r="B31" s="270" t="s">
        <v>142</v>
      </c>
      <c r="C31" s="270">
        <v>0</v>
      </c>
      <c r="D31" s="273">
        <v>0</v>
      </c>
      <c r="F31" s="269" t="s">
        <v>143</v>
      </c>
      <c r="G31" s="270" t="s">
        <v>144</v>
      </c>
      <c r="H31" s="74" t="s">
        <v>145</v>
      </c>
      <c r="I31" s="75">
        <f>IF(O24="U3",O40,IF(O24="GIGE",O72,"-"))</f>
        <v>3840</v>
      </c>
      <c r="J31" s="306" t="s">
        <v>109</v>
      </c>
      <c r="L31" s="82" t="s">
        <v>146</v>
      </c>
      <c r="M31" s="74" t="s">
        <v>147</v>
      </c>
      <c r="N31" s="74" t="s">
        <v>148</v>
      </c>
      <c r="O31" s="75">
        <f>IF(OR(O23="IMX253",O23="IMX255"),24,IF(OR(O23="IMX304",O23="IMX267"),12,"-"))</f>
        <v>12</v>
      </c>
      <c r="P31" s="83" t="s">
        <v>109</v>
      </c>
      <c r="R31" s="327" t="s">
        <v>149</v>
      </c>
      <c r="S31" s="282" t="s">
        <v>150</v>
      </c>
      <c r="T31" s="282"/>
      <c r="U31" s="282" t="str">
        <f>IF(O23="U3","0x1b6-0x1b7",IF(O24="GIGE","0x97","-"))</f>
        <v>0x97</v>
      </c>
      <c r="V31" s="282" t="s">
        <v>151</v>
      </c>
      <c r="W31" s="328" t="str">
        <f>DEC2HEX(MAX(I27,I28,I30,I31))</f>
        <v>F00</v>
      </c>
    </row>
    <row r="32" ht="409.5" hidden="1" spans="1:23">
      <c r="A32" s="272" t="s">
        <v>152</v>
      </c>
      <c r="B32" s="270" t="s">
        <v>153</v>
      </c>
      <c r="C32" s="270">
        <v>0</v>
      </c>
      <c r="D32" s="273">
        <v>0</v>
      </c>
      <c r="F32" s="47" t="s">
        <v>154</v>
      </c>
      <c r="G32" s="24"/>
      <c r="H32" s="24"/>
      <c r="I32" s="24"/>
      <c r="J32" s="48"/>
      <c r="L32" s="308" t="s">
        <v>155</v>
      </c>
      <c r="M32" s="280" t="s">
        <v>156</v>
      </c>
      <c r="N32" s="26" t="s">
        <v>85</v>
      </c>
      <c r="O32" s="309">
        <v>14260</v>
      </c>
      <c r="P32" s="310" t="s">
        <v>70</v>
      </c>
      <c r="R32" s="327" t="s">
        <v>157</v>
      </c>
      <c r="S32" s="282">
        <v>32</v>
      </c>
      <c r="T32" s="282"/>
      <c r="U32" s="282" t="str">
        <f>"0x"&amp;DEC2HEX(S32)</f>
        <v>0x20</v>
      </c>
      <c r="V32" s="282" t="s">
        <v>158</v>
      </c>
      <c r="W32" s="328">
        <v>1</v>
      </c>
    </row>
    <row r="33" ht="135.75" hidden="1" spans="1:16">
      <c r="A33" s="272" t="s">
        <v>29</v>
      </c>
      <c r="B33" s="270" t="s">
        <v>159</v>
      </c>
      <c r="C33" s="270">
        <f>IF(OR(O23="IMX253",O23="IMX304",O23="IMX255",O23="IMX267"),4096,"-")</f>
        <v>4096</v>
      </c>
      <c r="F33" s="279" t="s">
        <v>160</v>
      </c>
      <c r="G33" s="280" t="s">
        <v>161</v>
      </c>
      <c r="H33" s="280" t="s">
        <v>162</v>
      </c>
      <c r="I33" s="55">
        <f>MAX(ROUNDUP(((1000*B4-O32)/I22),0),1)</f>
        <v>2788</v>
      </c>
      <c r="J33" s="307" t="s">
        <v>109</v>
      </c>
      <c r="L33" s="30" t="s">
        <v>163</v>
      </c>
      <c r="M33" s="25" t="s">
        <v>164</v>
      </c>
      <c r="N33" s="25" t="s">
        <v>165</v>
      </c>
      <c r="O33" s="69">
        <f>IF(O24="U3",3950,IF(O24="GIGE",IF(O23="IMX304",1106,IF(O23="IMX267",1250,"-")),"-"))</f>
        <v>1250</v>
      </c>
      <c r="P33" s="51" t="s">
        <v>166</v>
      </c>
    </row>
    <row r="34" ht="67.5" hidden="1" spans="1:16">
      <c r="A34" s="272" t="s">
        <v>30</v>
      </c>
      <c r="B34" s="270" t="s">
        <v>167</v>
      </c>
      <c r="C34" s="270">
        <f>IF(OR(O23="IMX253",O23="IMX304"),3000,IF(OR(O23="IMX255",O23="IMX267"),2160,"-"))</f>
        <v>2160</v>
      </c>
      <c r="F34" s="269" t="s">
        <v>168</v>
      </c>
      <c r="G34" s="270" t="s">
        <v>169</v>
      </c>
      <c r="H34" s="270">
        <v>0</v>
      </c>
      <c r="I34" s="75">
        <v>0</v>
      </c>
      <c r="J34" s="304" t="s">
        <v>82</v>
      </c>
      <c r="L34" s="47" t="s">
        <v>170</v>
      </c>
      <c r="M34" s="24"/>
      <c r="N34" s="24"/>
      <c r="O34" s="24"/>
      <c r="P34" s="48"/>
    </row>
    <row r="35" ht="94.5" hidden="1" spans="1:16">
      <c r="A35" s="32" t="s">
        <v>171</v>
      </c>
      <c r="B35" s="29"/>
      <c r="C35" s="29"/>
      <c r="D35" s="57"/>
      <c r="F35" s="269" t="s">
        <v>172</v>
      </c>
      <c r="G35" s="270" t="s">
        <v>173</v>
      </c>
      <c r="H35" s="270" t="s">
        <v>174</v>
      </c>
      <c r="I35" s="75">
        <f>IF(B4&gt;100,B4,100)</f>
        <v>60000</v>
      </c>
      <c r="J35" s="304" t="s">
        <v>82</v>
      </c>
      <c r="L35" s="43" t="s">
        <v>49</v>
      </c>
      <c r="M35" s="23" t="s">
        <v>50</v>
      </c>
      <c r="N35" s="23" t="s">
        <v>51</v>
      </c>
      <c r="O35" s="23" t="s">
        <v>62</v>
      </c>
      <c r="P35" s="80" t="s">
        <v>53</v>
      </c>
    </row>
    <row r="36" ht="135" hidden="1" spans="1:16">
      <c r="A36" s="82" t="s">
        <v>175</v>
      </c>
      <c r="B36" s="270" t="s">
        <v>176</v>
      </c>
      <c r="C36" s="270">
        <v>0</v>
      </c>
      <c r="D36" s="273">
        <v>0</v>
      </c>
      <c r="F36" s="269" t="s">
        <v>177</v>
      </c>
      <c r="G36" s="270" t="s">
        <v>178</v>
      </c>
      <c r="H36" s="271" t="s">
        <v>179</v>
      </c>
      <c r="I36" s="75">
        <f>(B4+11*I22)/1000+I39*I22/1000</f>
        <v>47231.84</v>
      </c>
      <c r="J36" s="304" t="s">
        <v>82</v>
      </c>
      <c r="L36" s="272" t="s">
        <v>180</v>
      </c>
      <c r="M36" s="270" t="s">
        <v>181</v>
      </c>
      <c r="N36" s="270">
        <v>52</v>
      </c>
      <c r="O36" s="75">
        <v>52</v>
      </c>
      <c r="P36" s="304" t="s">
        <v>182</v>
      </c>
    </row>
    <row r="37" ht="81" hidden="1" spans="1:20">
      <c r="A37" s="82" t="s">
        <v>183</v>
      </c>
      <c r="B37" s="270" t="s">
        <v>176</v>
      </c>
      <c r="C37" s="270">
        <v>0</v>
      </c>
      <c r="D37" s="273">
        <v>0</v>
      </c>
      <c r="F37" s="269" t="s">
        <v>184</v>
      </c>
      <c r="G37" s="270" t="s">
        <v>185</v>
      </c>
      <c r="H37" s="270" t="s">
        <v>186</v>
      </c>
      <c r="I37" s="311" t="str">
        <f>IF(O24="U3",B17*O39/1000000,"-")</f>
        <v>-</v>
      </c>
      <c r="J37" s="304" t="s">
        <v>187</v>
      </c>
      <c r="L37" s="272" t="s">
        <v>188</v>
      </c>
      <c r="M37" s="270" t="s">
        <v>189</v>
      </c>
      <c r="N37" s="270" t="s">
        <v>190</v>
      </c>
      <c r="O37" s="75">
        <f>IF(B5=1,36,32)</f>
        <v>32</v>
      </c>
      <c r="P37" s="304" t="s">
        <v>182</v>
      </c>
      <c r="T37" s="329"/>
    </row>
    <row r="38" ht="81.75" hidden="1" spans="1:20">
      <c r="A38" s="281" t="s">
        <v>191</v>
      </c>
      <c r="B38" s="282" t="s">
        <v>176</v>
      </c>
      <c r="C38" s="282">
        <v>0</v>
      </c>
      <c r="D38" s="283">
        <v>0</v>
      </c>
      <c r="F38" s="279" t="s">
        <v>192</v>
      </c>
      <c r="G38" s="280" t="s">
        <v>193</v>
      </c>
      <c r="H38" s="280" t="s">
        <v>194</v>
      </c>
      <c r="J38" s="310" t="s">
        <v>195</v>
      </c>
      <c r="L38" s="272" t="s">
        <v>196</v>
      </c>
      <c r="M38" s="270" t="s">
        <v>197</v>
      </c>
      <c r="N38" s="270" t="s">
        <v>198</v>
      </c>
      <c r="O38" s="311">
        <f>B2*B3*IF(B5=8,1,2)</f>
        <v>8847360</v>
      </c>
      <c r="P38" s="304" t="s">
        <v>182</v>
      </c>
      <c r="T38" s="329"/>
    </row>
    <row r="39" ht="337.5" hidden="1" spans="1:20">
      <c r="A39" s="284" t="s">
        <v>199</v>
      </c>
      <c r="B39" s="285"/>
      <c r="C39" s="285"/>
      <c r="D39" s="286"/>
      <c r="F39" s="287" t="s">
        <v>200</v>
      </c>
      <c r="G39" s="288" t="s">
        <v>201</v>
      </c>
      <c r="H39" s="288" t="s">
        <v>202</v>
      </c>
      <c r="I39" s="59">
        <f>IF(OR(O23="IMX253",O23="IMX255"),41,IF(OR(O23="IMX304",O23="IMX267"),21,"-"))+B3</f>
        <v>2181</v>
      </c>
      <c r="J39" s="306" t="s">
        <v>109</v>
      </c>
      <c r="L39" s="272" t="s">
        <v>203</v>
      </c>
      <c r="M39" s="270" t="s">
        <v>204</v>
      </c>
      <c r="N39" s="270" t="s">
        <v>205</v>
      </c>
      <c r="O39" s="311">
        <f>O36+O37+O38+(8+16*D36+16*D37)*D38</f>
        <v>8847444</v>
      </c>
      <c r="P39" s="304" t="s">
        <v>182</v>
      </c>
      <c r="T39" s="329"/>
    </row>
    <row r="40" ht="121.5" hidden="1" spans="1:26">
      <c r="A40" s="272" t="s">
        <v>206</v>
      </c>
      <c r="B40" s="270" t="s">
        <v>207</v>
      </c>
      <c r="C40" s="270">
        <v>0</v>
      </c>
      <c r="D40" s="273">
        <v>0</v>
      </c>
      <c r="F40" s="279" t="s">
        <v>208</v>
      </c>
      <c r="G40" s="289" t="s">
        <v>209</v>
      </c>
      <c r="H40" s="280" t="s">
        <v>210</v>
      </c>
      <c r="I40" s="55">
        <f>12500*B11*(100-B12)</f>
        <v>1125000000</v>
      </c>
      <c r="J40" s="310"/>
      <c r="L40" s="272" t="s">
        <v>211</v>
      </c>
      <c r="M40" s="270" t="s">
        <v>144</v>
      </c>
      <c r="N40" s="74" t="s">
        <v>212</v>
      </c>
      <c r="O40" s="75">
        <f>ROUNDUP((MAX((O39*1000000/D41)*D40,O39*10/O33)*1000/I22),0)</f>
        <v>3290</v>
      </c>
      <c r="P40" s="304" t="s">
        <v>109</v>
      </c>
      <c r="R40" s="90"/>
      <c r="S40" s="329"/>
      <c r="T40" s="329"/>
      <c r="U40" s="329"/>
      <c r="V40" s="329"/>
      <c r="Y40" s="329"/>
      <c r="Z40" s="329"/>
    </row>
    <row r="41" ht="324.75" hidden="1" spans="1:26">
      <c r="A41" s="272" t="s">
        <v>213</v>
      </c>
      <c r="B41" s="270" t="s">
        <v>214</v>
      </c>
      <c r="C41" s="270">
        <v>300000000</v>
      </c>
      <c r="D41" s="273">
        <v>350000000</v>
      </c>
      <c r="F41" s="290" t="s">
        <v>215</v>
      </c>
      <c r="G41" s="291" t="s">
        <v>216</v>
      </c>
      <c r="H41" s="292" t="s">
        <v>217</v>
      </c>
      <c r="I41" s="312">
        <f>((62+(B6-36))*O60+62+O61+168)+(B7+12)*(O60+3)</f>
        <v>9294808</v>
      </c>
      <c r="J41" s="313"/>
      <c r="L41" s="47" t="s">
        <v>218</v>
      </c>
      <c r="M41" s="24"/>
      <c r="N41" s="24"/>
      <c r="O41" s="24"/>
      <c r="P41" s="48"/>
      <c r="R41" s="90"/>
      <c r="S41" s="329"/>
      <c r="T41" s="329"/>
      <c r="U41" s="329"/>
      <c r="V41" s="329"/>
      <c r="Y41" s="329"/>
      <c r="Z41" s="329"/>
    </row>
    <row r="42" ht="27" hidden="1" spans="1:26">
      <c r="A42" s="32" t="s">
        <v>219</v>
      </c>
      <c r="B42" s="29"/>
      <c r="C42" s="29"/>
      <c r="D42" s="57"/>
      <c r="F42" s="293"/>
      <c r="L42" s="43" t="s">
        <v>49</v>
      </c>
      <c r="M42" s="23" t="s">
        <v>50</v>
      </c>
      <c r="N42" s="23" t="s">
        <v>51</v>
      </c>
      <c r="O42" s="23" t="s">
        <v>62</v>
      </c>
      <c r="P42" s="80" t="s">
        <v>53</v>
      </c>
      <c r="R42" s="90"/>
      <c r="S42" s="329"/>
      <c r="T42" s="329"/>
      <c r="U42" s="329"/>
      <c r="V42" s="329"/>
      <c r="Y42" s="329"/>
      <c r="Z42" s="329"/>
    </row>
    <row r="43" ht="27" hidden="1" spans="1:26">
      <c r="A43" s="272" t="s">
        <v>220</v>
      </c>
      <c r="B43" s="270" t="s">
        <v>221</v>
      </c>
      <c r="C43" s="294" t="s">
        <v>85</v>
      </c>
      <c r="F43" s="293"/>
      <c r="L43" s="272" t="s">
        <v>222</v>
      </c>
      <c r="M43" s="270" t="s">
        <v>223</v>
      </c>
      <c r="N43" s="270" t="s">
        <v>224</v>
      </c>
      <c r="O43" s="75">
        <v>7</v>
      </c>
      <c r="P43" s="304" t="s">
        <v>182</v>
      </c>
      <c r="R43" s="90"/>
      <c r="S43" s="329"/>
      <c r="T43" s="329"/>
      <c r="U43" s="329"/>
      <c r="V43" s="329"/>
      <c r="Y43" s="329"/>
      <c r="Z43" s="329"/>
    </row>
    <row r="44" ht="81" hidden="1" spans="1:26">
      <c r="A44" s="272" t="s">
        <v>33</v>
      </c>
      <c r="B44" s="270" t="s">
        <v>225</v>
      </c>
      <c r="C44" s="294">
        <v>1500</v>
      </c>
      <c r="F44" s="293"/>
      <c r="L44" s="272" t="s">
        <v>226</v>
      </c>
      <c r="M44" s="270" t="s">
        <v>227</v>
      </c>
      <c r="N44" s="270" t="s">
        <v>228</v>
      </c>
      <c r="O44" s="75">
        <v>1</v>
      </c>
      <c r="P44" s="304" t="s">
        <v>182</v>
      </c>
      <c r="R44" s="90"/>
      <c r="S44" s="329"/>
      <c r="T44" s="329"/>
      <c r="U44" s="329"/>
      <c r="V44" s="329"/>
      <c r="Y44" s="329"/>
      <c r="Z44" s="329"/>
    </row>
    <row r="45" ht="40.5" hidden="1" spans="1:26">
      <c r="A45" s="272" t="s">
        <v>34</v>
      </c>
      <c r="B45" s="270" t="str">
        <f>"包间隔(不包括12B最小值的部分 范围:0-"&amp;B8</f>
        <v>包间隔(不包括12B最小值的部分 范围:0-180000</v>
      </c>
      <c r="C45" s="294">
        <v>0</v>
      </c>
      <c r="F45" s="293"/>
      <c r="L45" s="272" t="s">
        <v>229</v>
      </c>
      <c r="M45" s="270" t="s">
        <v>230</v>
      </c>
      <c r="N45" s="270" t="s">
        <v>231</v>
      </c>
      <c r="O45" s="75">
        <v>14</v>
      </c>
      <c r="P45" s="304" t="s">
        <v>182</v>
      </c>
      <c r="R45" s="90"/>
      <c r="S45" s="329"/>
      <c r="T45" s="329"/>
      <c r="U45" s="329"/>
      <c r="V45" s="329"/>
      <c r="Y45" s="329"/>
      <c r="Z45" s="329"/>
    </row>
    <row r="46" ht="27" hidden="1" spans="1:26">
      <c r="A46" s="295" t="s">
        <v>232</v>
      </c>
      <c r="B46" s="289" t="s">
        <v>233</v>
      </c>
      <c r="C46" s="296">
        <v>180000</v>
      </c>
      <c r="F46" s="293"/>
      <c r="L46" s="272" t="s">
        <v>234</v>
      </c>
      <c r="M46" s="270" t="s">
        <v>235</v>
      </c>
      <c r="N46" s="270" t="s">
        <v>236</v>
      </c>
      <c r="O46" s="75">
        <v>20</v>
      </c>
      <c r="P46" s="304" t="s">
        <v>182</v>
      </c>
      <c r="R46" s="90"/>
      <c r="S46" s="329"/>
      <c r="T46" s="329"/>
      <c r="U46" s="329"/>
      <c r="V46" s="329"/>
      <c r="Y46" s="329"/>
      <c r="Z46" s="329"/>
    </row>
    <row r="47" ht="40.5" hidden="1" spans="1:26">
      <c r="A47" s="272" t="s">
        <v>39</v>
      </c>
      <c r="B47" s="270" t="str">
        <f>"预留带宽 范围:0-"&amp;B13</f>
        <v>预留带宽 范围:0-99</v>
      </c>
      <c r="C47" s="294">
        <v>10</v>
      </c>
      <c r="F47" s="293"/>
      <c r="L47" s="272" t="s">
        <v>237</v>
      </c>
      <c r="M47" s="270" t="s">
        <v>238</v>
      </c>
      <c r="N47" s="270" t="s">
        <v>239</v>
      </c>
      <c r="O47" s="75">
        <v>8</v>
      </c>
      <c r="P47" s="304" t="s">
        <v>182</v>
      </c>
      <c r="R47" s="90"/>
      <c r="S47" s="329"/>
      <c r="T47" s="329"/>
      <c r="U47" s="329"/>
      <c r="V47" s="329"/>
      <c r="Y47" s="329"/>
      <c r="Z47" s="329"/>
    </row>
    <row r="48" ht="81.75" hidden="1" spans="1:26">
      <c r="A48" s="297" t="s">
        <v>240</v>
      </c>
      <c r="B48" s="291" t="s">
        <v>241</v>
      </c>
      <c r="C48" s="298">
        <v>99</v>
      </c>
      <c r="F48" s="293"/>
      <c r="L48" s="272" t="s">
        <v>242</v>
      </c>
      <c r="M48" s="270" t="s">
        <v>243</v>
      </c>
      <c r="N48" s="270" t="s">
        <v>239</v>
      </c>
      <c r="O48" s="75">
        <v>8</v>
      </c>
      <c r="P48" s="304" t="s">
        <v>182</v>
      </c>
      <c r="R48" s="90"/>
      <c r="S48" s="329"/>
      <c r="T48" s="329"/>
      <c r="U48" s="329"/>
      <c r="V48" s="329"/>
      <c r="Y48" s="329"/>
      <c r="Z48" s="329"/>
    </row>
    <row r="49" ht="27" hidden="1" spans="1:26">
      <c r="A49" s="299" t="s">
        <v>244</v>
      </c>
      <c r="B49" s="300"/>
      <c r="C49" s="300"/>
      <c r="D49" s="301"/>
      <c r="F49" s="293"/>
      <c r="L49" s="272" t="s">
        <v>245</v>
      </c>
      <c r="M49" s="270" t="s">
        <v>246</v>
      </c>
      <c r="N49" s="270" t="s">
        <v>247</v>
      </c>
      <c r="O49" s="75">
        <v>4</v>
      </c>
      <c r="P49" s="304" t="s">
        <v>182</v>
      </c>
      <c r="R49" s="90"/>
      <c r="S49" s="329"/>
      <c r="T49" s="329"/>
      <c r="U49" s="329"/>
      <c r="V49" s="329"/>
      <c r="Y49" s="329"/>
      <c r="Z49" s="329"/>
    </row>
    <row r="50" ht="40.5" hidden="1" spans="1:26">
      <c r="A50" s="272" t="s">
        <v>248</v>
      </c>
      <c r="B50" s="270" t="s">
        <v>249</v>
      </c>
      <c r="C50" s="270">
        <v>0</v>
      </c>
      <c r="F50" s="293"/>
      <c r="L50" s="272" t="s">
        <v>250</v>
      </c>
      <c r="M50" s="270" t="s">
        <v>251</v>
      </c>
      <c r="N50" s="270" t="s">
        <v>252</v>
      </c>
      <c r="O50" s="75">
        <v>12</v>
      </c>
      <c r="P50" s="304" t="s">
        <v>182</v>
      </c>
      <c r="R50" s="90"/>
      <c r="S50" s="329"/>
      <c r="T50" s="329"/>
      <c r="U50" s="329"/>
      <c r="V50" s="329"/>
      <c r="Y50" s="329"/>
      <c r="Z50" s="329"/>
    </row>
    <row r="51" ht="135" hidden="1" spans="1:26">
      <c r="A51" s="272" t="s">
        <v>253</v>
      </c>
      <c r="B51" s="270" t="s">
        <v>254</v>
      </c>
      <c r="C51" s="270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12</v>
      </c>
      <c r="F51" s="293"/>
      <c r="L51" s="272" t="s">
        <v>255</v>
      </c>
      <c r="M51" s="280" t="s">
        <v>256</v>
      </c>
      <c r="N51" s="270" t="s">
        <v>257</v>
      </c>
      <c r="O51" s="75">
        <f>O46+O47+O48</f>
        <v>36</v>
      </c>
      <c r="P51" s="304" t="s">
        <v>182</v>
      </c>
      <c r="R51" s="90"/>
      <c r="S51" s="329"/>
      <c r="T51" s="329"/>
      <c r="U51" s="329"/>
      <c r="V51" s="329"/>
      <c r="Y51" s="329"/>
      <c r="Z51" s="329"/>
    </row>
    <row r="52" ht="108" hidden="1" spans="6:26">
      <c r="F52" s="293"/>
      <c r="L52" s="272" t="s">
        <v>258</v>
      </c>
      <c r="M52" s="280" t="s">
        <v>259</v>
      </c>
      <c r="N52" s="270" t="s">
        <v>260</v>
      </c>
      <c r="O52" s="75">
        <f>O43+O44+O45+O49</f>
        <v>26</v>
      </c>
      <c r="P52" s="304" t="s">
        <v>182</v>
      </c>
      <c r="R52" s="90"/>
      <c r="S52" s="329"/>
      <c r="T52" s="329"/>
      <c r="U52" s="329"/>
      <c r="V52" s="329"/>
      <c r="Y52" s="329"/>
      <c r="Z52" s="329"/>
    </row>
    <row r="53" ht="54" hidden="1" spans="6:26">
      <c r="F53" s="293"/>
      <c r="L53" s="314" t="s">
        <v>261</v>
      </c>
      <c r="M53" s="315" t="s">
        <v>262</v>
      </c>
      <c r="N53" s="315" t="s">
        <v>263</v>
      </c>
      <c r="O53" s="316">
        <f>64-O45-O49-O51</f>
        <v>10</v>
      </c>
      <c r="P53" s="317" t="s">
        <v>182</v>
      </c>
      <c r="R53" s="90"/>
      <c r="S53" s="329"/>
      <c r="T53" s="329"/>
      <c r="U53" s="329"/>
      <c r="V53" s="329"/>
      <c r="Y53" s="329"/>
      <c r="Z53" s="329"/>
    </row>
    <row r="54" hidden="1" customHeight="1" spans="1:26">
      <c r="A54" s="264"/>
      <c r="B54" s="264"/>
      <c r="C54" s="264"/>
      <c r="D54" s="264"/>
      <c r="F54" s="293"/>
      <c r="L54" s="47" t="s">
        <v>264</v>
      </c>
      <c r="M54" s="24"/>
      <c r="N54" s="24"/>
      <c r="O54" s="24"/>
      <c r="P54" s="48"/>
      <c r="R54" s="90"/>
      <c r="S54" s="329"/>
      <c r="T54" s="329"/>
      <c r="U54" s="329"/>
      <c r="V54" s="329"/>
      <c r="Y54" s="329"/>
      <c r="Z54" s="329"/>
    </row>
    <row r="55" ht="27" hidden="1" spans="1:16">
      <c r="A55" s="264"/>
      <c r="B55" s="264"/>
      <c r="C55" s="264"/>
      <c r="D55" s="264"/>
      <c r="F55" s="293"/>
      <c r="L55" s="43" t="s">
        <v>49</v>
      </c>
      <c r="M55" s="23" t="s">
        <v>50</v>
      </c>
      <c r="N55" s="23" t="s">
        <v>51</v>
      </c>
      <c r="O55" s="23" t="s">
        <v>62</v>
      </c>
      <c r="P55" s="80" t="s">
        <v>53</v>
      </c>
    </row>
    <row r="56" ht="67.5" hidden="1" spans="1:16">
      <c r="A56" s="264"/>
      <c r="B56" s="264"/>
      <c r="C56" s="264"/>
      <c r="D56" s="264"/>
      <c r="F56" s="293"/>
      <c r="L56" s="272" t="s">
        <v>180</v>
      </c>
      <c r="M56" s="270" t="s">
        <v>265</v>
      </c>
      <c r="N56" s="270" t="s">
        <v>266</v>
      </c>
      <c r="O56" s="75">
        <f>IF(D38=0,36,12)</f>
        <v>36</v>
      </c>
      <c r="P56" s="304" t="s">
        <v>182</v>
      </c>
    </row>
    <row r="57" ht="81" hidden="1" spans="1:16">
      <c r="A57" s="264"/>
      <c r="B57" s="264"/>
      <c r="C57" s="264"/>
      <c r="D57" s="264"/>
      <c r="F57" s="293"/>
      <c r="L57" s="272" t="s">
        <v>188</v>
      </c>
      <c r="M57" s="270" t="s">
        <v>267</v>
      </c>
      <c r="N57" s="270" t="s">
        <v>268</v>
      </c>
      <c r="O57" s="75">
        <v>10</v>
      </c>
      <c r="P57" s="304" t="s">
        <v>182</v>
      </c>
    </row>
    <row r="58" ht="67.5" hidden="1" spans="6:16">
      <c r="F58" s="293"/>
      <c r="L58" s="272" t="s">
        <v>196</v>
      </c>
      <c r="M58" s="270" t="s">
        <v>269</v>
      </c>
      <c r="N58" s="270" t="s">
        <v>198</v>
      </c>
      <c r="O58" s="311">
        <f>B2*B3*IF(B5=8,1,2)</f>
        <v>8847360</v>
      </c>
      <c r="P58" s="304" t="s">
        <v>182</v>
      </c>
    </row>
    <row r="59" ht="81" hidden="1" spans="6:16">
      <c r="F59" s="293"/>
      <c r="L59" s="272" t="s">
        <v>270</v>
      </c>
      <c r="M59" s="270" t="s">
        <v>271</v>
      </c>
      <c r="N59" s="318" t="s">
        <v>272</v>
      </c>
      <c r="O59" s="311">
        <f>O58+32*D38</f>
        <v>8847360</v>
      </c>
      <c r="P59" s="304" t="s">
        <v>182</v>
      </c>
    </row>
    <row r="60" ht="54" hidden="1" spans="6:16">
      <c r="F60" s="293"/>
      <c r="L60" s="272" t="s">
        <v>273</v>
      </c>
      <c r="M60" s="270" t="s">
        <v>274</v>
      </c>
      <c r="N60" s="270" t="s">
        <v>275</v>
      </c>
      <c r="O60" s="96">
        <f>INT(O59/(B6-O51))</f>
        <v>6043</v>
      </c>
      <c r="P60" s="304"/>
    </row>
    <row r="61" ht="54" hidden="1" spans="6:16">
      <c r="F61" s="293"/>
      <c r="L61" s="272" t="s">
        <v>276</v>
      </c>
      <c r="M61" s="270" t="s">
        <v>277</v>
      </c>
      <c r="N61" s="270" t="s">
        <v>278</v>
      </c>
      <c r="O61" s="96">
        <f>O59-(B6-O51)*O60</f>
        <v>408</v>
      </c>
      <c r="P61" s="304" t="s">
        <v>182</v>
      </c>
    </row>
    <row r="62" ht="54" hidden="1" spans="6:16">
      <c r="F62" s="293"/>
      <c r="L62" s="82" t="s">
        <v>279</v>
      </c>
      <c r="M62" s="74" t="s">
        <v>280</v>
      </c>
      <c r="N62" s="74" t="s">
        <v>281</v>
      </c>
      <c r="O62" s="75">
        <f>IF(MOD(O58,(B6-O51))=0,0,1)</f>
        <v>1</v>
      </c>
      <c r="P62" s="304"/>
    </row>
    <row r="63" ht="135" hidden="1" spans="6:16">
      <c r="F63" s="293"/>
      <c r="L63" s="272" t="s">
        <v>282</v>
      </c>
      <c r="M63" s="270" t="s">
        <v>283</v>
      </c>
      <c r="N63" s="74" t="s">
        <v>284</v>
      </c>
      <c r="O63" s="96">
        <f>IF(O61&lt;O53,O53,O61)</f>
        <v>408</v>
      </c>
      <c r="P63" s="304" t="s">
        <v>182</v>
      </c>
    </row>
    <row r="64" ht="162" hidden="1" spans="6:16">
      <c r="F64" s="293"/>
      <c r="L64" s="82" t="s">
        <v>285</v>
      </c>
      <c r="M64" s="74" t="s">
        <v>286</v>
      </c>
      <c r="N64" s="74" t="s">
        <v>287</v>
      </c>
      <c r="O64" s="96">
        <f>O52+O51+O56</f>
        <v>98</v>
      </c>
      <c r="P64" s="304" t="s">
        <v>182</v>
      </c>
    </row>
    <row r="65" ht="175.5" hidden="1" spans="6:16">
      <c r="F65" s="293"/>
      <c r="L65" s="82" t="s">
        <v>288</v>
      </c>
      <c r="M65" s="74" t="s">
        <v>289</v>
      </c>
      <c r="N65" s="74" t="s">
        <v>287</v>
      </c>
      <c r="O65" s="96">
        <f>O52+O51+O57</f>
        <v>72</v>
      </c>
      <c r="P65" s="304" t="s">
        <v>182</v>
      </c>
    </row>
    <row r="66" ht="175.5" hidden="1" spans="6:16">
      <c r="F66" s="293"/>
      <c r="L66" s="82" t="s">
        <v>290</v>
      </c>
      <c r="M66" s="74" t="s">
        <v>291</v>
      </c>
      <c r="N66" s="74" t="s">
        <v>292</v>
      </c>
      <c r="O66" s="96">
        <f>O60*(B6+O52)+O62*(O63+O52+O51)</f>
        <v>9222088</v>
      </c>
      <c r="P66" s="304" t="s">
        <v>182</v>
      </c>
    </row>
    <row r="67" ht="297" hidden="1" spans="6:16">
      <c r="F67" s="293"/>
      <c r="L67" s="82" t="s">
        <v>293</v>
      </c>
      <c r="M67" s="74" t="s">
        <v>294</v>
      </c>
      <c r="N67" s="74" t="s">
        <v>295</v>
      </c>
      <c r="O67" s="96">
        <f>(2+O62+O60)*(B7+O50)</f>
        <v>72552</v>
      </c>
      <c r="P67" s="304" t="s">
        <v>182</v>
      </c>
    </row>
    <row r="68" ht="135" hidden="1" spans="6:16">
      <c r="F68" s="293"/>
      <c r="L68" s="272" t="s">
        <v>203</v>
      </c>
      <c r="M68" s="270" t="s">
        <v>296</v>
      </c>
      <c r="N68" s="288" t="s">
        <v>297</v>
      </c>
      <c r="O68" s="311">
        <f>O64+O65+O66+O67</f>
        <v>9294810</v>
      </c>
      <c r="P68" s="304" t="s">
        <v>182</v>
      </c>
    </row>
    <row r="69" ht="67.5" hidden="1" spans="6:16">
      <c r="F69" s="293"/>
      <c r="L69" s="30" t="s">
        <v>298</v>
      </c>
      <c r="M69" s="25" t="s">
        <v>299</v>
      </c>
      <c r="N69" s="25" t="s">
        <v>300</v>
      </c>
      <c r="O69" s="54">
        <f>INT(B11*(100-B12)/80)</f>
        <v>1125</v>
      </c>
      <c r="P69" s="51" t="s">
        <v>301</v>
      </c>
    </row>
    <row r="70" ht="67.5" hidden="1" spans="6:16">
      <c r="F70" s="293"/>
      <c r="L70" s="30" t="s">
        <v>302</v>
      </c>
      <c r="M70" s="288" t="s">
        <v>303</v>
      </c>
      <c r="N70" s="25" t="s">
        <v>304</v>
      </c>
      <c r="O70" s="54">
        <f>ROUNDUP(ROUNDUP(O68*1000/O69,0)*10/I22,0)</f>
        <v>3840</v>
      </c>
      <c r="P70" s="330" t="s">
        <v>109</v>
      </c>
    </row>
    <row r="71" ht="81" hidden="1" spans="6:16">
      <c r="F71" s="293"/>
      <c r="L71" s="30" t="s">
        <v>305</v>
      </c>
      <c r="M71" s="288" t="s">
        <v>306</v>
      </c>
      <c r="N71" s="25" t="s">
        <v>307</v>
      </c>
      <c r="O71" s="54">
        <f>ROUNDUP((O59+O56+O57)*10*1000/O33/I22,0)</f>
        <v>3289</v>
      </c>
      <c r="P71" s="330" t="s">
        <v>109</v>
      </c>
    </row>
    <row r="72" ht="68.25" hidden="1" spans="6:16">
      <c r="F72" s="293"/>
      <c r="L72" s="331" t="s">
        <v>308</v>
      </c>
      <c r="M72" s="332" t="s">
        <v>144</v>
      </c>
      <c r="N72" s="68" t="s">
        <v>309</v>
      </c>
      <c r="O72" s="69">
        <f>MAX(O70,O71)</f>
        <v>3840</v>
      </c>
      <c r="P72" s="333" t="s">
        <v>109</v>
      </c>
    </row>
    <row r="73" hidden="1" spans="6:6">
      <c r="F73" s="293"/>
    </row>
    <row r="74" hidden="1" spans="6:6">
      <c r="F74" s="293"/>
    </row>
    <row r="75" hidden="1"/>
    <row r="76" hidden="1"/>
    <row r="77" hidden="1"/>
  </sheetData>
  <sheetProtection algorithmName="SHA-512" hashValue="9ercubgpLJkEvJ7H43IDeoN848bH6YuFSocZpch3AT78uZQUwZtlNO5MD3oEfdZ86B9npTDcWVQ2IRiUbLzDrA==" saltValue="3y742IB00QS8Jmm6y90W+w==" spinCount="100000" sheet="1" objects="1" scenarios="1"/>
  <mergeCells count="23">
    <mergeCell ref="F19:J19"/>
    <mergeCell ref="L19:P19"/>
    <mergeCell ref="A20:D20"/>
    <mergeCell ref="L20:P20"/>
    <mergeCell ref="F21:J21"/>
    <mergeCell ref="A22:D22"/>
    <mergeCell ref="A24:D24"/>
    <mergeCell ref="F25:J25"/>
    <mergeCell ref="A27:D27"/>
    <mergeCell ref="R27:V27"/>
    <mergeCell ref="A30:D30"/>
    <mergeCell ref="F32:J32"/>
    <mergeCell ref="L34:P34"/>
    <mergeCell ref="A35:D35"/>
    <mergeCell ref="A39:D39"/>
    <mergeCell ref="L41:P41"/>
    <mergeCell ref="A42:D42"/>
    <mergeCell ref="A49:D49"/>
    <mergeCell ref="L54:P54"/>
    <mergeCell ref="S22:S23"/>
    <mergeCell ref="S24:S25"/>
    <mergeCell ref="V22:V23"/>
    <mergeCell ref="V24:V25"/>
  </mergeCells>
  <dataValidations count="17"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allowBlank="1" showInputMessage="1" showErrorMessage="1" error="输入范围是64~1024，步长为2" sqref="A1:B1"/>
    <dataValidation type="custom" allowBlank="1" showInputMessage="1" showErrorMessage="1" errorTitle="Invalid input value" error="input range is 64~2160,step is 2" sqref="B3">
      <formula1>AND((B3&lt;=2160),(B3&gt;=64),(MOD(B3,2)=0))</formula1>
    </dataValidation>
    <dataValidation type="custom" allowBlank="1" showInputMessage="1" showErrorMessage="1" error="please input 8 or 12" sqref="B5">
      <formula1>OR((B5=8),(B5=12))</formula1>
    </dataValidation>
    <dataValidation type="whole" operator="between" allowBlank="1" showInputMessage="1" showErrorMessage="1" errorTitle="out of range " error="input range is 36us-1s" sqref="B4">
      <formula1>36</formula1>
      <formula2>1000000</formula2>
    </dataValidation>
    <dataValidation type="whole" operator="between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please input 1000 or 100" sqref="B11">
      <formula1>OR((B11=1000),(B11=100))</formula1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operator="between" allowBlank="1" showInputMessage="1" showErrorMessage="1" sqref="B12">
      <formula1>0</formula1>
      <formula2>B13</formula2>
    </dataValidation>
    <dataValidation type="whole" operator="between" allowBlank="1" showInputMessage="1" showErrorMessage="1" errorTitle="超出范围" error="曝光延迟的范围是0-5000us" sqref="D26">
      <formula1>0</formula1>
      <formula2>5000</formula2>
    </dataValidation>
    <dataValidation type="list" allowBlank="1" showInputMessage="1" showErrorMessage="1" errorTitle="超出范围" error="0:关闭&#10;1:打开" sqref="D40">
      <formula1>"0,1"</formula1>
    </dataValidation>
    <dataValidation type="whole" operator="between" allowBlank="1" showInputMessage="1" showErrorMessage="1" sqref="D41">
      <formula1>35000000</formula1>
      <formula2>400000000</formula2>
    </dataValidation>
    <dataValidation type="whole" operator="between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opLeftCell="B1" workbookViewId="0">
      <selection activeCell="C4" sqref="C4"/>
    </sheetView>
  </sheetViews>
  <sheetFormatPr defaultColWidth="9" defaultRowHeight="13.5"/>
  <cols>
    <col min="1" max="1" width="11.75" hidden="1" customWidth="1"/>
    <col min="2" max="2" width="30.875" customWidth="1"/>
    <col min="3" max="3" width="18.625" customWidth="1"/>
    <col min="4" max="4" width="10.5" customWidth="1"/>
    <col min="9" max="13" width="9" hidden="1" customWidth="1"/>
    <col min="14" max="15" width="9" customWidth="1"/>
  </cols>
  <sheetData>
    <row r="1" spans="1:3">
      <c r="A1" s="254" t="s">
        <v>311</v>
      </c>
      <c r="B1" s="254"/>
      <c r="C1" s="255"/>
    </row>
    <row r="2" spans="1:3">
      <c r="A2" s="254" t="s">
        <v>312</v>
      </c>
      <c r="B2" s="254" t="s">
        <v>313</v>
      </c>
      <c r="C2" s="254">
        <f>C48</f>
        <v>6464</v>
      </c>
    </row>
    <row r="3" spans="1:3">
      <c r="A3" s="254" t="s">
        <v>314</v>
      </c>
      <c r="B3" s="254" t="s">
        <v>315</v>
      </c>
      <c r="C3" s="254">
        <f>C49</f>
        <v>4852</v>
      </c>
    </row>
    <row r="4" spans="1:4">
      <c r="A4" s="254" t="s">
        <v>159</v>
      </c>
      <c r="B4" s="254" t="s">
        <v>29</v>
      </c>
      <c r="C4" s="255">
        <v>6464</v>
      </c>
      <c r="D4" s="8" t="str">
        <f>IF(OR(C4&gt;C2,C4&lt;64),J68,"")</f>
        <v/>
      </c>
    </row>
    <row r="5" spans="1:4">
      <c r="A5" s="254" t="s">
        <v>167</v>
      </c>
      <c r="B5" s="254" t="s">
        <v>30</v>
      </c>
      <c r="C5" s="255">
        <v>4852</v>
      </c>
      <c r="D5" s="8" t="str">
        <f>IF(OR(C5&gt;C3,C5&lt;64),J69,"")</f>
        <v/>
      </c>
    </row>
    <row r="6" spans="1:3">
      <c r="A6" s="254" t="s">
        <v>316</v>
      </c>
      <c r="B6" s="254" t="s">
        <v>317</v>
      </c>
      <c r="C6" s="255">
        <v>1</v>
      </c>
    </row>
    <row r="7" spans="1:3">
      <c r="A7" s="254" t="s">
        <v>318</v>
      </c>
      <c r="B7" s="254" t="s">
        <v>319</v>
      </c>
      <c r="C7" s="255">
        <v>1</v>
      </c>
    </row>
    <row r="8" spans="1:3">
      <c r="A8" s="254" t="s">
        <v>320</v>
      </c>
      <c r="B8" s="254" t="s">
        <v>321</v>
      </c>
      <c r="C8" s="255">
        <v>1</v>
      </c>
    </row>
    <row r="9" spans="1:3">
      <c r="A9" s="254" t="s">
        <v>322</v>
      </c>
      <c r="B9" s="254" t="s">
        <v>323</v>
      </c>
      <c r="C9" s="255">
        <v>1</v>
      </c>
    </row>
    <row r="10" spans="1:3">
      <c r="A10" s="254" t="s">
        <v>87</v>
      </c>
      <c r="B10" s="254" t="s">
        <v>31</v>
      </c>
      <c r="C10" s="255">
        <v>60000</v>
      </c>
    </row>
    <row r="11" ht="15.6" customHeight="1" spans="1:3">
      <c r="A11" s="254" t="s">
        <v>104</v>
      </c>
      <c r="B11" s="254" t="s">
        <v>324</v>
      </c>
      <c r="C11" s="255">
        <v>0</v>
      </c>
    </row>
    <row r="12" spans="1:3">
      <c r="A12" s="254" t="s">
        <v>66</v>
      </c>
      <c r="B12" s="254" t="s">
        <v>32</v>
      </c>
      <c r="C12" s="255">
        <v>8</v>
      </c>
    </row>
    <row r="13" spans="1:3">
      <c r="A13" s="254" t="s">
        <v>325</v>
      </c>
      <c r="B13" s="254" t="s">
        <v>33</v>
      </c>
      <c r="C13" s="255">
        <v>1500</v>
      </c>
    </row>
    <row r="14" spans="1:3">
      <c r="A14" s="254" t="s">
        <v>326</v>
      </c>
      <c r="B14" s="254" t="s">
        <v>34</v>
      </c>
      <c r="C14" s="255">
        <v>0</v>
      </c>
    </row>
    <row r="15" spans="1:3">
      <c r="A15" s="254" t="s">
        <v>233</v>
      </c>
      <c r="B15" s="254" t="s">
        <v>35</v>
      </c>
      <c r="C15" s="254">
        <f>C38</f>
        <v>50968</v>
      </c>
    </row>
    <row r="16" spans="1:3">
      <c r="A16" s="254" t="s">
        <v>327</v>
      </c>
      <c r="B16" s="254" t="s">
        <v>36</v>
      </c>
      <c r="C16" s="255">
        <v>3.4</v>
      </c>
    </row>
    <row r="17" spans="1:3">
      <c r="A17" s="254" t="s">
        <v>328</v>
      </c>
      <c r="B17" s="254" t="s">
        <v>37</v>
      </c>
      <c r="C17" s="255">
        <v>0</v>
      </c>
    </row>
    <row r="18" spans="1:3">
      <c r="A18" s="254" t="s">
        <v>329</v>
      </c>
      <c r="B18" s="254" t="s">
        <v>38</v>
      </c>
      <c r="C18" s="255">
        <v>1000</v>
      </c>
    </row>
    <row r="19" spans="1:3">
      <c r="A19" s="254" t="s">
        <v>330</v>
      </c>
      <c r="B19" s="254" t="s">
        <v>39</v>
      </c>
      <c r="C19" s="255">
        <v>10</v>
      </c>
    </row>
    <row r="20" spans="1:3">
      <c r="A20" s="254" t="s">
        <v>241</v>
      </c>
      <c r="B20" s="254" t="s">
        <v>40</v>
      </c>
      <c r="C20" s="254">
        <f>C41</f>
        <v>97</v>
      </c>
    </row>
    <row r="21" customHeight="1" spans="1:3">
      <c r="A21" s="254"/>
      <c r="B21" s="254"/>
      <c r="C21" s="254"/>
    </row>
    <row r="22" ht="12.75" customHeight="1" spans="1:3">
      <c r="A22" s="256"/>
      <c r="B22" s="254"/>
      <c r="C22" s="254"/>
    </row>
    <row r="23" ht="12.75" hidden="1" customHeight="1" spans="1:3">
      <c r="A23" s="256" t="s">
        <v>68</v>
      </c>
      <c r="B23" s="254"/>
      <c r="C23" s="257">
        <f>IF(C12=8,32911,65822)</f>
        <v>32911</v>
      </c>
    </row>
    <row r="24" hidden="1" customHeight="1" spans="1:3">
      <c r="A24" s="256" t="s">
        <v>331</v>
      </c>
      <c r="B24" s="254"/>
      <c r="C24" s="257">
        <f>C16*10</f>
        <v>34</v>
      </c>
    </row>
    <row r="25" hidden="1" customHeight="1" spans="1:3">
      <c r="A25" s="256" t="s">
        <v>332</v>
      </c>
      <c r="B25" s="257"/>
      <c r="C25" s="257">
        <f>(C53+17)+28</f>
        <v>4897</v>
      </c>
    </row>
    <row r="26" hidden="1" customHeight="1" spans="1:3">
      <c r="A26" s="256" t="s">
        <v>333</v>
      </c>
      <c r="B26" s="257"/>
      <c r="C26" s="257">
        <f>MAX(ROUNDUP(((1000*C10-30060)/C23),0),1)</f>
        <v>1823</v>
      </c>
    </row>
    <row r="27" hidden="1" customHeight="1" spans="1:4">
      <c r="A27" s="256" t="s">
        <v>334</v>
      </c>
      <c r="B27" s="257"/>
      <c r="C27" s="257">
        <f>ROUNDDOWN(C11*1000/C23,0)</f>
        <v>0</v>
      </c>
      <c r="D27" s="10"/>
    </row>
    <row r="28" hidden="1" customHeight="1" spans="1:3">
      <c r="A28" s="256" t="s">
        <v>335</v>
      </c>
      <c r="B28" s="257"/>
      <c r="C28" s="257">
        <f>C26+C27+14</f>
        <v>1837</v>
      </c>
    </row>
    <row r="29" hidden="1" customHeight="1" spans="1:3">
      <c r="A29" s="256" t="s">
        <v>336</v>
      </c>
      <c r="B29" s="257"/>
      <c r="C29" s="257">
        <v>0</v>
      </c>
    </row>
    <row r="30" hidden="1" customHeight="1" spans="1:3">
      <c r="A30" s="256" t="s">
        <v>337</v>
      </c>
      <c r="B30" s="257"/>
      <c r="C30" s="257">
        <f>ROUNDDOWN((C4*C5*ROUNDUP(C12/8,0)+C29*36)/(C13-36),0)</f>
        <v>21423</v>
      </c>
    </row>
    <row r="31" hidden="1" customHeight="1" spans="1:3">
      <c r="A31" s="256" t="s">
        <v>338</v>
      </c>
      <c r="B31" s="257"/>
      <c r="C31" s="257">
        <f>C4*C5*ROUNDUP(C12/8,0)+C29*32-(C13-36)*C30</f>
        <v>56</v>
      </c>
    </row>
    <row r="32" hidden="1" customHeight="1" spans="1:3">
      <c r="A32" s="257" t="s">
        <v>339</v>
      </c>
      <c r="B32" s="257"/>
      <c r="C32" s="257">
        <f>ROUNDUP((ROUNDDOWN((((62+(C13-36))*C30+62+C31+(168-C29*24))+(C14+12)*(C30+3)),0)*1000/C33)*10/C23,0)</f>
        <v>8900</v>
      </c>
    </row>
    <row r="33" hidden="1" customHeight="1" spans="1:3">
      <c r="A33" s="257" t="s">
        <v>299</v>
      </c>
      <c r="B33" s="257"/>
      <c r="C33" s="257">
        <f>INT(C18*(100-C19)/80)</f>
        <v>1125</v>
      </c>
    </row>
    <row r="34" hidden="1" customHeight="1" spans="1:3">
      <c r="A34" s="257" t="s">
        <v>340</v>
      </c>
      <c r="B34" s="257"/>
      <c r="C34" s="257">
        <f>ROUNDUP((1000000000/C16)/C23,0)</f>
        <v>8937</v>
      </c>
    </row>
    <row r="35" hidden="1" customHeight="1" spans="1:4">
      <c r="A35" s="257" t="s">
        <v>80</v>
      </c>
      <c r="B35" s="257"/>
      <c r="C35" s="257">
        <f>IF(C17=1,MAX(C25,C28,C32,C34),MAX(C25,C28,C32))</f>
        <v>8900</v>
      </c>
      <c r="D35" t="str">
        <f>DEC2HEX(C35)</f>
        <v>22C4</v>
      </c>
    </row>
    <row r="36" hidden="1" customHeight="1" spans="1:3">
      <c r="A36" s="257" t="s">
        <v>61</v>
      </c>
      <c r="B36" s="257"/>
      <c r="C36" s="257">
        <f>1000000/C43</f>
        <v>3.41404126893086</v>
      </c>
    </row>
    <row r="37" hidden="1" customHeight="1" spans="1:3">
      <c r="A37" s="257" t="s">
        <v>209</v>
      </c>
      <c r="B37" s="257"/>
      <c r="C37" s="257">
        <f>12500*C18*(100-C19)</f>
        <v>1125000000</v>
      </c>
    </row>
    <row r="38" hidden="1" customHeight="1" spans="1:3">
      <c r="A38" s="257" t="s">
        <v>341</v>
      </c>
      <c r="B38" s="257"/>
      <c r="C38" s="257">
        <f>IF((ROUNDDOWN((C37-(62+C13-36)*C30-62-C31-168+C29*24)/(C30+3),0)-12)&gt;180000,180000,ROUNDDOWN((C37-(62+C13-36)*C30-62-C31-168+C29*24)/(C30+3),0)-12)</f>
        <v>50968</v>
      </c>
    </row>
    <row r="39" hidden="1" customHeight="1" spans="1:3">
      <c r="A39" s="257" t="s">
        <v>216</v>
      </c>
      <c r="B39" s="257"/>
      <c r="C39" s="257">
        <f>((62+(C13-36))*C30+62+C31+168)+(C14+12)*(C30+3)</f>
        <v>32948896</v>
      </c>
    </row>
    <row r="40" hidden="1" customHeight="1" spans="1:3">
      <c r="A40" s="257" t="s">
        <v>209</v>
      </c>
      <c r="B40" s="257"/>
      <c r="C40" s="257">
        <f>125000*C18</f>
        <v>125000000</v>
      </c>
    </row>
    <row r="41" hidden="1" customHeight="1" spans="1:3">
      <c r="A41" s="257" t="s">
        <v>342</v>
      </c>
      <c r="B41" s="257"/>
      <c r="C41" s="257">
        <f>IF((100-ROUNDDOWN(C39*10/(1250000*C18/10),0)-1)&lt;0,0,(100-ROUNDDOWN(C39*10/(1250000*C18/10),0)-1))</f>
        <v>97</v>
      </c>
    </row>
    <row r="42" hidden="1" customHeight="1" spans="1:3">
      <c r="A42" s="257" t="s">
        <v>343</v>
      </c>
      <c r="B42" s="257"/>
      <c r="C42" s="257">
        <f>ROUNDDOWN((C37-(62+C13-36)*C30-62-C31-168+C29*24)/(C30+3),0)-12</f>
        <v>50968</v>
      </c>
    </row>
    <row r="43" hidden="1" customHeight="1" spans="1:3">
      <c r="A43" s="257" t="s">
        <v>344</v>
      </c>
      <c r="B43" s="257"/>
      <c r="C43" s="257">
        <f>ROUNDUP(C35*C23/1000,0)</f>
        <v>292908</v>
      </c>
    </row>
    <row r="44" hidden="1" customHeight="1" spans="1:3">
      <c r="A44" s="257" t="s">
        <v>345</v>
      </c>
      <c r="B44" s="257"/>
      <c r="C44" s="257">
        <f>ROUNDDOWN(1000000000/C43,0)</f>
        <v>3414</v>
      </c>
    </row>
    <row r="45" hidden="1" customHeight="1" spans="1:3">
      <c r="A45" s="257" t="s">
        <v>346</v>
      </c>
      <c r="B45" s="257"/>
      <c r="C45" s="257">
        <f>ROUNDDOWN(C4*C44/10*IF(C12=8,1,2)/10*C5/10,0)</f>
        <v>107074401</v>
      </c>
    </row>
    <row r="46" hidden="1" customHeight="1" spans="1:3">
      <c r="A46" s="257" t="s">
        <v>347</v>
      </c>
      <c r="B46" s="257"/>
      <c r="C46" s="257">
        <f>ROUNDDOWN((C45*10/(100-C19)*10),)</f>
        <v>118971556</v>
      </c>
    </row>
    <row r="47" hidden="1" customHeight="1" spans="1:3">
      <c r="A47" s="257"/>
      <c r="B47" s="257"/>
      <c r="C47" s="257"/>
    </row>
    <row r="48" hidden="1" customHeight="1" spans="1:3">
      <c r="A48" s="257" t="s">
        <v>348</v>
      </c>
      <c r="B48" s="257"/>
      <c r="C48" s="257">
        <f>ROUNDDOWN(6464/(4*C50),0)*4</f>
        <v>6464</v>
      </c>
    </row>
    <row r="49" hidden="1" customHeight="1" spans="1:3">
      <c r="A49" s="257" t="s">
        <v>349</v>
      </c>
      <c r="B49" s="257"/>
      <c r="C49" s="257">
        <f>ROUNDDOWN(4852/(2*C51),0)*2</f>
        <v>4852</v>
      </c>
    </row>
    <row r="50" hidden="1" customHeight="1" spans="1:3">
      <c r="A50" s="257" t="s">
        <v>350</v>
      </c>
      <c r="B50" s="257"/>
      <c r="C50" s="257">
        <f>IF(C6=1,C8,C6)</f>
        <v>1</v>
      </c>
    </row>
    <row r="51" hidden="1" customHeight="1" spans="1:3">
      <c r="A51" s="257" t="s">
        <v>351</v>
      </c>
      <c r="B51" s="257"/>
      <c r="C51" s="257">
        <f>IF(C7=1,C9,C7)</f>
        <v>1</v>
      </c>
    </row>
    <row r="52" hidden="1" customHeight="1" spans="1:3">
      <c r="A52" s="257" t="s">
        <v>352</v>
      </c>
      <c r="B52" s="257"/>
      <c r="C52" s="257">
        <f>ROUNDDOWN(C56/4,0)*4*C50</f>
        <v>6464</v>
      </c>
    </row>
    <row r="53" hidden="1" customHeight="1" spans="1:3">
      <c r="A53" s="257" t="s">
        <v>353</v>
      </c>
      <c r="B53" s="257"/>
      <c r="C53" s="257">
        <f>ROUNDDOWN(C57/2,0)*2*C51</f>
        <v>4852</v>
      </c>
    </row>
    <row r="54" hidden="1" customHeight="1" spans="1:3">
      <c r="A54" s="257" t="s">
        <v>354</v>
      </c>
      <c r="B54" s="257"/>
      <c r="C54" s="257">
        <f>ROUNDDOWN(C4/4,0)*4*C50</f>
        <v>6464</v>
      </c>
    </row>
    <row r="55" hidden="1" customHeight="1" spans="1:3">
      <c r="A55" s="257" t="s">
        <v>355</v>
      </c>
      <c r="B55" s="257"/>
      <c r="C55" s="257">
        <f>ROUNDDOWN(C5/2,0)*2*C51</f>
        <v>4852</v>
      </c>
    </row>
    <row r="56" hidden="1" customHeight="1" spans="1:3">
      <c r="A56" s="257" t="s">
        <v>356</v>
      </c>
      <c r="B56" s="257"/>
      <c r="C56" s="257">
        <f>ROUNDDOWN(C54/(4*C50),0)*4</f>
        <v>6464</v>
      </c>
    </row>
    <row r="57" ht="15" hidden="1" customHeight="1" spans="1:3">
      <c r="A57" s="257" t="s">
        <v>357</v>
      </c>
      <c r="B57" s="257"/>
      <c r="C57" s="257">
        <f>ROUNDDOWN(C55/(2*C51),0)*2</f>
        <v>4852</v>
      </c>
    </row>
    <row r="58" ht="12.75" hidden="1" customHeight="1" spans="1:3">
      <c r="A58" s="257"/>
      <c r="B58" s="257"/>
      <c r="C58" s="257"/>
    </row>
    <row r="59" hidden="1" customHeight="1" spans="1:3">
      <c r="A59" s="257"/>
      <c r="B59" s="257"/>
      <c r="C59" s="257"/>
    </row>
    <row r="60" hidden="1" customHeight="1" spans="1:3">
      <c r="A60" s="258" t="s">
        <v>358</v>
      </c>
      <c r="B60" s="258"/>
      <c r="C60" s="258"/>
    </row>
    <row r="61" ht="14.25" spans="1:4">
      <c r="A61" s="258" t="s">
        <v>61</v>
      </c>
      <c r="B61" s="258" t="s">
        <v>41</v>
      </c>
      <c r="C61" s="258">
        <f>ROUND(C36,2)</f>
        <v>3.41</v>
      </c>
      <c r="D61" s="259" t="str">
        <f>IF(J74=1,J70,"")</f>
        <v/>
      </c>
    </row>
    <row r="67" spans="10:10">
      <c r="J67" t="s">
        <v>359</v>
      </c>
    </row>
    <row r="68" spans="10:10">
      <c r="J68" t="s">
        <v>360</v>
      </c>
    </row>
    <row r="69" spans="10:10">
      <c r="J69" t="s">
        <v>361</v>
      </c>
    </row>
    <row r="70" spans="10:10">
      <c r="J70" t="s">
        <v>362</v>
      </c>
    </row>
    <row r="73" spans="10:10">
      <c r="J73" t="s">
        <v>363</v>
      </c>
    </row>
    <row r="74" spans="10:10">
      <c r="J74">
        <f>IF(OR(OR(C4&gt;C2,C4&lt;64),OR(C5&gt;C3,C5&lt;64)),1,0)</f>
        <v>0</v>
      </c>
    </row>
  </sheetData>
  <sheetProtection password="DE11" sheet="1" selectLockedCells="1" objects="1"/>
  <conditionalFormatting sqref="C4">
    <cfRule type="cellIs" dxfId="0" priority="2" operator="lessThan">
      <formula>64</formula>
    </cfRule>
    <cfRule type="cellIs" dxfId="0" priority="3" operator="greaterThan">
      <formula>$C$2</formula>
    </cfRule>
  </conditionalFormatting>
  <conditionalFormatting sqref="C5">
    <cfRule type="cellIs" dxfId="1" priority="4" stopIfTrue="1" operator="lessThan">
      <formula>64</formula>
    </cfRule>
    <cfRule type="cellIs" dxfId="0" priority="5" stopIfTrue="1" operator="greaterThan">
      <formula>$C$3</formula>
    </cfRule>
  </conditionalFormatting>
  <conditionalFormatting sqref="C61">
    <cfRule type="expression" dxfId="2" priority="1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Title="Input parameter error" error="Input 1, 2 or 4, and can not be entered when the 'BinningHorizontal' is not 1" sqref="C8">
      <formula1>AND(OR((C8=1),(C8=2),(C8=4)),C6=1)</formula1>
    </dataValidation>
    <dataValidation type="whole" operator="between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custom" allowBlank="1" showInputMessage="1" showErrorMessage="1" errorTitle="Input parameter error" error="Input range:[64, 'HeightMax'],and is an integer multiple of 2" sqref="C5">
      <formula1>AND((C5&lt;=C3),(C5&gt;=64),(MOD(C5,2)=0))</formula1>
    </dataValidation>
    <dataValidation type="custom" allowBlank="1" showInputMessage="1" showErrorMessage="1" errorTitle="Input parameter error" error="Input 1, 2 or 4, and can not be entered when the 'BinningVertical' is not 1" sqref="C9">
      <formula1>AND(OR((C9=1),(C9=2),(C9=4)),C7=1)</formula1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allowBlank="1" showErrorMessage="1" promptTitle="参数变化" prompt="该参数会根据当前生效的垂直像素Binning、垂直像素抽样变化" sqref="C3"/>
    <dataValidation type="whole" operator="between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custom" allowBlank="1" showInputMessage="1" showErrorMessage="1" errorTitle="Input parameter error" error="Input 1, 2 or 4, and can not be entered when the 'DecimationHorizontal' is not 1" sqref="C6">
      <formula1>AND(OR((C6=1),(C6=2),(C6=4)),C8=1)</formula1>
    </dataValidation>
    <dataValidation type="custom" allowBlank="1" showInputMessage="1" showErrorMessage="1" errorTitle="Input parameter error" error="Input 1, 2 or 4, and can not be entered when the 'DecimationVertical' is not 1" sqref="C7">
      <formula1>AND(OR((C7=1),(C7=2),(C7=4)),C9=1)</formula1>
    </dataValidation>
    <dataValidation type="whole" operator="between" allowBlank="1" showInputMessage="1" showErrorMessage="1" errorTitle="Input parameter error" error="Input range:[63, 1000000]" sqref="C10">
      <formula1>63</formula1>
      <formula2>1000000</formula2>
    </dataValidation>
    <dataValidation type="whole" operator="between" allowBlank="1" showInputMessage="1" showErrorMessage="1" errorTitle="Input parameter error" error="Input range:[0, 5000]" sqref="C11">
      <formula1>0</formula1>
      <formula2>5000</formula2>
    </dataValidation>
    <dataValidation type="whole" operator="between" allowBlank="1" error="设置值超过包间隔范围" prompt="设置值应在预留带宽范围内" sqref="C20">
      <formula1>0</formula1>
      <formula2>C41</formula2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8 or 12" sqref="C12">
      <formula1>OR((C12=8),(C12=12))</formula1>
    </dataValidation>
    <dataValidation type="whole" operator="between" allowBlank="1" showErrorMessage="1" error="设置值超过最大值" prompt="应在包间隔范围内" sqref="C15">
      <formula1>0</formula1>
      <formula2>C38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</dataValidation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92"/>
  <sheetViews>
    <sheetView topLeftCell="B1" workbookViewId="0">
      <selection activeCell="C6" sqref="C6"/>
    </sheetView>
  </sheetViews>
  <sheetFormatPr defaultColWidth="9" defaultRowHeight="13.5"/>
  <cols>
    <col min="1" max="1" width="20" style="146" hidden="1" customWidth="1"/>
    <col min="2" max="2" width="29" style="146" customWidth="1"/>
    <col min="3" max="3" width="19" style="146" customWidth="1"/>
    <col min="4" max="4" width="23.125" style="146" customWidth="1"/>
    <col min="5" max="5" width="19" style="146" customWidth="1"/>
    <col min="6" max="7" width="10" style="146" customWidth="1"/>
    <col min="8" max="8" width="6.125" style="146" customWidth="1"/>
    <col min="9" max="9" width="15.125" style="146" customWidth="1"/>
    <col min="10" max="10" width="24.5" style="146" customWidth="1"/>
    <col min="11" max="11" width="28.625" style="146" customWidth="1"/>
    <col min="12" max="12" width="16.125" style="146" customWidth="1"/>
    <col min="13" max="13" width="7.5" style="146" customWidth="1"/>
    <col min="14" max="14" width="4.5" style="146" customWidth="1"/>
    <col min="15" max="15" width="19.625" style="146" customWidth="1"/>
    <col min="16" max="16" width="27.25" style="146" customWidth="1"/>
    <col min="17" max="17" width="29" style="146" customWidth="1"/>
    <col min="18" max="18" width="12.75" style="146" customWidth="1"/>
    <col min="19" max="19" width="9.625" style="146" customWidth="1"/>
    <col min="20" max="20" width="4.875" style="146" customWidth="1"/>
    <col min="21" max="21" width="17" style="146" customWidth="1"/>
    <col min="22" max="23" width="15.625" style="146" customWidth="1"/>
    <col min="24" max="24" width="15.75" style="146" customWidth="1"/>
    <col min="25" max="25" width="16.375" style="146" customWidth="1"/>
    <col min="26" max="26" width="18.875" style="146" customWidth="1"/>
    <col min="27" max="27" width="14.875" style="146" customWidth="1"/>
    <col min="28" max="28" width="15.25" style="146" customWidth="1"/>
    <col min="29" max="29" width="20.5" style="146" customWidth="1"/>
    <col min="30" max="30" width="22" style="146" customWidth="1"/>
    <col min="31" max="31" width="21.625" style="146" customWidth="1"/>
    <col min="32" max="32" width="20.625" style="146" customWidth="1"/>
    <col min="33" max="33" width="10" style="146" customWidth="1"/>
    <col min="34" max="34" width="9.75" style="146" customWidth="1"/>
    <col min="35" max="35" width="13.25" style="146" customWidth="1"/>
    <col min="36" max="36" width="13.875" style="146" customWidth="1"/>
    <col min="37" max="37" width="12.5" style="146" customWidth="1"/>
    <col min="38" max="38" width="23.875" style="146" customWidth="1"/>
    <col min="39" max="39" width="22.125" style="146" customWidth="1"/>
    <col min="40" max="40" width="17.5" style="146" customWidth="1"/>
    <col min="41" max="16384" width="9" style="146"/>
  </cols>
  <sheetData>
    <row r="1" spans="1:3">
      <c r="A1" s="3" t="s">
        <v>311</v>
      </c>
      <c r="B1" s="3"/>
      <c r="C1" s="4"/>
    </row>
    <row r="2" spans="1:3">
      <c r="A2" s="5" t="s">
        <v>312</v>
      </c>
      <c r="B2" s="5" t="s">
        <v>313</v>
      </c>
      <c r="C2" s="6">
        <f>E51/C6</f>
        <v>5120</v>
      </c>
    </row>
    <row r="3" spans="1:3">
      <c r="A3" s="5" t="s">
        <v>314</v>
      </c>
      <c r="B3" s="5" t="s">
        <v>315</v>
      </c>
      <c r="C3" s="6">
        <f>E52/C7</f>
        <v>5120</v>
      </c>
    </row>
    <row r="4" spans="1:4">
      <c r="A4" s="3" t="s">
        <v>159</v>
      </c>
      <c r="B4" s="3" t="s">
        <v>29</v>
      </c>
      <c r="C4" s="7">
        <v>5120</v>
      </c>
      <c r="D4" s="147" t="str">
        <f>IF(OR(C4&gt;C2,C4&lt;4),I24,"")</f>
        <v/>
      </c>
    </row>
    <row r="5" spans="1:4">
      <c r="A5" s="3" t="s">
        <v>167</v>
      </c>
      <c r="B5" s="3" t="s">
        <v>30</v>
      </c>
      <c r="C5" s="7">
        <v>5120</v>
      </c>
      <c r="D5" s="147" t="str">
        <f>IF(OR(C5&gt;C3,C5&lt;2),I25,"")</f>
        <v/>
      </c>
    </row>
    <row r="6" spans="1:3">
      <c r="A6" s="5" t="s">
        <v>320</v>
      </c>
      <c r="B6" s="5" t="s">
        <v>321</v>
      </c>
      <c r="C6" s="9">
        <v>1</v>
      </c>
    </row>
    <row r="7" spans="1:3">
      <c r="A7" s="5" t="s">
        <v>322</v>
      </c>
      <c r="B7" s="5" t="s">
        <v>323</v>
      </c>
      <c r="C7" s="9">
        <v>1</v>
      </c>
    </row>
    <row r="8" spans="1:3">
      <c r="A8" s="3" t="s">
        <v>87</v>
      </c>
      <c r="B8" s="3" t="s">
        <v>31</v>
      </c>
      <c r="C8" s="7">
        <v>60000</v>
      </c>
    </row>
    <row r="9" spans="1:3">
      <c r="A9" s="5" t="s">
        <v>104</v>
      </c>
      <c r="B9" s="5" t="s">
        <v>324</v>
      </c>
      <c r="C9" s="9">
        <v>0</v>
      </c>
    </row>
    <row r="10" spans="1:3">
      <c r="A10" s="3" t="s">
        <v>66</v>
      </c>
      <c r="B10" s="3" t="s">
        <v>32</v>
      </c>
      <c r="C10" s="7">
        <v>8</v>
      </c>
    </row>
    <row r="11" spans="1:3">
      <c r="A11" s="3" t="s">
        <v>325</v>
      </c>
      <c r="B11" s="3" t="s">
        <v>33</v>
      </c>
      <c r="C11" s="7">
        <v>1500</v>
      </c>
    </row>
    <row r="12" spans="1:3">
      <c r="A12" s="3" t="s">
        <v>326</v>
      </c>
      <c r="B12" s="3" t="s">
        <v>34</v>
      </c>
      <c r="C12" s="7">
        <v>0</v>
      </c>
    </row>
    <row r="13" spans="1:3">
      <c r="A13" s="3" t="s">
        <v>233</v>
      </c>
      <c r="B13" s="3" t="s">
        <v>35</v>
      </c>
      <c r="C13" s="13">
        <f>L59</f>
        <v>61279</v>
      </c>
    </row>
    <row r="14" spans="1:3">
      <c r="A14" s="3" t="s">
        <v>364</v>
      </c>
      <c r="B14" s="3" t="s">
        <v>36</v>
      </c>
      <c r="C14" s="7">
        <v>4.5</v>
      </c>
    </row>
    <row r="15" spans="1:3">
      <c r="A15" s="3" t="s">
        <v>244</v>
      </c>
      <c r="B15" s="3" t="s">
        <v>37</v>
      </c>
      <c r="C15" s="7">
        <v>0</v>
      </c>
    </row>
    <row r="16" spans="1:3">
      <c r="A16" s="3" t="s">
        <v>329</v>
      </c>
      <c r="B16" s="3" t="s">
        <v>38</v>
      </c>
      <c r="C16" s="7">
        <v>1000</v>
      </c>
    </row>
    <row r="17" spans="1:3">
      <c r="A17" s="3" t="s">
        <v>330</v>
      </c>
      <c r="B17" s="3" t="s">
        <v>39</v>
      </c>
      <c r="C17" s="7">
        <v>10</v>
      </c>
    </row>
    <row r="18" spans="1:3">
      <c r="A18" s="3" t="s">
        <v>241</v>
      </c>
      <c r="B18" s="3" t="s">
        <v>40</v>
      </c>
      <c r="C18" s="13">
        <f>L61</f>
        <v>97</v>
      </c>
    </row>
    <row r="19" spans="1:3">
      <c r="A19" s="3"/>
      <c r="B19" s="3"/>
      <c r="C19" s="13"/>
    </row>
    <row r="20" ht="14.25" spans="1:3">
      <c r="A20" s="15" t="s">
        <v>358</v>
      </c>
      <c r="B20" s="15"/>
      <c r="C20" s="148"/>
    </row>
    <row r="21" ht="14.25" spans="1:4">
      <c r="A21" s="15" t="s">
        <v>61</v>
      </c>
      <c r="B21" s="15" t="s">
        <v>41</v>
      </c>
      <c r="C21" s="16">
        <f>L43</f>
        <v>4.08496732026144</v>
      </c>
      <c r="D21" s="147" t="str">
        <f>IF(I30,I26,"")</f>
        <v/>
      </c>
    </row>
    <row r="22" hidden="1"/>
    <row r="23" hidden="1" spans="9:9">
      <c r="I23" s="14" t="s">
        <v>365</v>
      </c>
    </row>
    <row r="24" hidden="1" spans="9:9">
      <c r="I24" s="179" t="s">
        <v>366</v>
      </c>
    </row>
    <row r="25" hidden="1" spans="9:9">
      <c r="I25" s="179" t="s">
        <v>367</v>
      </c>
    </row>
    <row r="26" hidden="1" spans="9:9">
      <c r="I26" s="14" t="s">
        <v>368</v>
      </c>
    </row>
    <row r="27" hidden="1" spans="9:9">
      <c r="I27" s="14"/>
    </row>
    <row r="28" hidden="1" spans="9:9">
      <c r="I28" s="14"/>
    </row>
    <row r="29" hidden="1" spans="9:9">
      <c r="I29" s="14" t="s">
        <v>369</v>
      </c>
    </row>
    <row r="30" hidden="1" spans="9:9">
      <c r="I30" s="14">
        <f>IF(OR(OR(C4&gt;C2,C4&lt;4),OR(C5&gt;C3,C5&lt;2)),1,0)</f>
        <v>0</v>
      </c>
    </row>
    <row r="31" hidden="1"/>
    <row r="32" hidden="1"/>
    <row r="33" hidden="1"/>
    <row r="34" hidden="1"/>
    <row r="35" hidden="1"/>
    <row r="36" hidden="1"/>
    <row r="37" ht="14.25" hidden="1" spans="3:26">
      <c r="C37" s="149"/>
      <c r="D37" s="149"/>
      <c r="F37" s="149"/>
      <c r="G37" s="149"/>
      <c r="U37" s="149"/>
      <c r="V37" s="149"/>
      <c r="W37" s="149"/>
      <c r="X37" s="149"/>
      <c r="Y37" s="149"/>
      <c r="Z37" s="149"/>
    </row>
    <row r="38" ht="14.25" hidden="1" spans="3:45">
      <c r="C38" s="150" t="s">
        <v>42</v>
      </c>
      <c r="D38" s="150" t="s">
        <v>43</v>
      </c>
      <c r="E38" s="151" t="s">
        <v>370</v>
      </c>
      <c r="F38" s="152"/>
      <c r="G38" s="152"/>
      <c r="H38" s="152"/>
      <c r="I38" s="153" t="s">
        <v>45</v>
      </c>
      <c r="J38" s="154"/>
      <c r="K38" s="154"/>
      <c r="L38" s="154"/>
      <c r="M38" s="155"/>
      <c r="N38" s="180"/>
      <c r="O38" s="153" t="s">
        <v>46</v>
      </c>
      <c r="P38" s="154"/>
      <c r="Q38" s="154"/>
      <c r="R38" s="154"/>
      <c r="S38" s="155"/>
      <c r="T38" s="180"/>
      <c r="U38" s="202" t="s">
        <v>371</v>
      </c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31"/>
    </row>
    <row r="39" ht="54" hidden="1" spans="3:45">
      <c r="C39" s="153" t="s">
        <v>372</v>
      </c>
      <c r="D39" s="154"/>
      <c r="E39" s="154"/>
      <c r="F39" s="154"/>
      <c r="G39" s="155"/>
      <c r="H39" s="152"/>
      <c r="I39" s="159" t="s">
        <v>61</v>
      </c>
      <c r="J39" s="160"/>
      <c r="K39" s="160"/>
      <c r="L39" s="160"/>
      <c r="M39" s="161"/>
      <c r="N39" s="180"/>
      <c r="O39" s="159" t="s">
        <v>373</v>
      </c>
      <c r="P39" s="160"/>
      <c r="Q39" s="160"/>
      <c r="R39" s="160"/>
      <c r="S39" s="161"/>
      <c r="T39" s="180"/>
      <c r="U39" s="204" t="s">
        <v>374</v>
      </c>
      <c r="V39" s="205" t="s">
        <v>375</v>
      </c>
      <c r="W39" s="205" t="s">
        <v>376</v>
      </c>
      <c r="X39" s="205" t="s">
        <v>377</v>
      </c>
      <c r="Y39" s="205" t="s">
        <v>378</v>
      </c>
      <c r="Z39" s="205" t="s">
        <v>379</v>
      </c>
      <c r="AA39" s="205" t="s">
        <v>380</v>
      </c>
      <c r="AB39" s="205" t="s">
        <v>381</v>
      </c>
      <c r="AC39" s="205" t="s">
        <v>382</v>
      </c>
      <c r="AD39" s="205" t="s">
        <v>383</v>
      </c>
      <c r="AE39" s="205" t="s">
        <v>384</v>
      </c>
      <c r="AF39" s="205" t="s">
        <v>385</v>
      </c>
      <c r="AG39" s="205" t="s">
        <v>386</v>
      </c>
      <c r="AH39" s="205" t="s">
        <v>387</v>
      </c>
      <c r="AI39" s="205" t="s">
        <v>388</v>
      </c>
      <c r="AJ39" s="205" t="s">
        <v>389</v>
      </c>
      <c r="AK39" s="205" t="s">
        <v>390</v>
      </c>
      <c r="AL39" s="205" t="s">
        <v>391</v>
      </c>
      <c r="AM39" s="205" t="s">
        <v>392</v>
      </c>
      <c r="AN39" s="227" t="s">
        <v>393</v>
      </c>
      <c r="AO39" s="205" t="s">
        <v>394</v>
      </c>
      <c r="AP39" s="205" t="s">
        <v>395</v>
      </c>
      <c r="AQ39" s="205" t="s">
        <v>396</v>
      </c>
      <c r="AR39" s="205" t="s">
        <v>397</v>
      </c>
      <c r="AS39" s="232" t="s">
        <v>398</v>
      </c>
    </row>
    <row r="40" ht="27.75" hidden="1" spans="3:45">
      <c r="C40" s="156" t="s">
        <v>49</v>
      </c>
      <c r="D40" s="157" t="s">
        <v>50</v>
      </c>
      <c r="E40" s="157" t="s">
        <v>59</v>
      </c>
      <c r="F40" s="157" t="s">
        <v>399</v>
      </c>
      <c r="G40" s="158" t="s">
        <v>53</v>
      </c>
      <c r="H40" s="152"/>
      <c r="I40" s="181" t="s">
        <v>49</v>
      </c>
      <c r="J40" s="182" t="s">
        <v>50</v>
      </c>
      <c r="K40" s="182" t="s">
        <v>51</v>
      </c>
      <c r="L40" s="182" t="s">
        <v>52</v>
      </c>
      <c r="M40" s="183" t="s">
        <v>53</v>
      </c>
      <c r="N40" s="180"/>
      <c r="O40" s="156" t="s">
        <v>49</v>
      </c>
      <c r="P40" s="157" t="s">
        <v>50</v>
      </c>
      <c r="Q40" s="157" t="s">
        <v>51</v>
      </c>
      <c r="R40" s="157" t="s">
        <v>62</v>
      </c>
      <c r="S40" s="206" t="s">
        <v>53</v>
      </c>
      <c r="T40" s="180"/>
      <c r="U40" s="207" t="s">
        <v>370</v>
      </c>
      <c r="V40" s="208" t="s">
        <v>400</v>
      </c>
      <c r="W40" s="208">
        <v>60</v>
      </c>
      <c r="X40" s="208">
        <v>50</v>
      </c>
      <c r="Y40" s="220">
        <v>1</v>
      </c>
      <c r="Z40" s="220">
        <v>4</v>
      </c>
      <c r="AA40" s="220">
        <v>128</v>
      </c>
      <c r="AB40" s="220">
        <v>4</v>
      </c>
      <c r="AC40" s="208">
        <v>5376</v>
      </c>
      <c r="AD40" s="208">
        <v>1</v>
      </c>
      <c r="AE40" s="208">
        <v>5376</v>
      </c>
      <c r="AF40" s="208">
        <v>5184</v>
      </c>
      <c r="AG40" s="220">
        <f>ROUNDUP((6*AH40/$R$41)*1000,0)+ROUNDUP(2*$L$41,0)</f>
        <v>74400</v>
      </c>
      <c r="AH40" s="228">
        <f>IF(F42=8,124,248)</f>
        <v>124</v>
      </c>
      <c r="AI40" s="228">
        <v>12</v>
      </c>
      <c r="AJ40" s="228">
        <v>2</v>
      </c>
      <c r="AK40" s="228">
        <v>636</v>
      </c>
      <c r="AL40" s="228">
        <v>6</v>
      </c>
      <c r="AM40" s="228">
        <v>14</v>
      </c>
      <c r="AN40" s="229">
        <v>1</v>
      </c>
      <c r="AO40" s="208" t="s">
        <v>78</v>
      </c>
      <c r="AP40" s="208">
        <v>60000</v>
      </c>
      <c r="AQ40" s="228">
        <v>5120</v>
      </c>
      <c r="AR40" s="228">
        <v>5120</v>
      </c>
      <c r="AS40" s="233">
        <v>4</v>
      </c>
    </row>
    <row r="41" ht="27" hidden="1" spans="3:45">
      <c r="C41" s="159" t="s">
        <v>66</v>
      </c>
      <c r="D41" s="160"/>
      <c r="E41" s="160"/>
      <c r="F41" s="160"/>
      <c r="G41" s="161"/>
      <c r="H41" s="152"/>
      <c r="I41" s="184" t="s">
        <v>401</v>
      </c>
      <c r="J41" s="178" t="s">
        <v>402</v>
      </c>
      <c r="K41" s="185" t="s">
        <v>403</v>
      </c>
      <c r="L41" s="186">
        <f>ROUNDUP(1000*R44*R42/R41,0)</f>
        <v>29760</v>
      </c>
      <c r="M41" s="184" t="s">
        <v>70</v>
      </c>
      <c r="N41" s="180"/>
      <c r="O41" s="162" t="s">
        <v>404</v>
      </c>
      <c r="P41" s="163" t="s">
        <v>405</v>
      </c>
      <c r="Q41" s="163" t="s">
        <v>406</v>
      </c>
      <c r="R41" s="189">
        <f>VLOOKUP($E$38,$U$40:$AS$43,4,FALSE)</f>
        <v>50</v>
      </c>
      <c r="S41" s="190" t="s">
        <v>407</v>
      </c>
      <c r="T41" s="180"/>
      <c r="U41" s="209"/>
      <c r="V41" s="209"/>
      <c r="W41" s="209"/>
      <c r="X41" s="209"/>
      <c r="Y41" s="221"/>
      <c r="Z41" s="221"/>
      <c r="AA41" s="221"/>
      <c r="AB41" s="221"/>
      <c r="AC41" s="209"/>
      <c r="AD41" s="209"/>
      <c r="AE41" s="209"/>
      <c r="AF41" s="209"/>
      <c r="AG41" s="221"/>
      <c r="AH41" s="230"/>
      <c r="AI41" s="230"/>
      <c r="AJ41" s="230"/>
      <c r="AK41" s="230"/>
      <c r="AL41" s="230"/>
      <c r="AM41" s="230"/>
      <c r="AN41" s="209"/>
      <c r="AO41" s="209"/>
      <c r="AP41" s="209"/>
      <c r="AQ41" s="230"/>
      <c r="AR41" s="230"/>
      <c r="AS41" s="209"/>
    </row>
    <row r="42" ht="40.5" hidden="1" spans="3:45">
      <c r="C42" s="162" t="s">
        <v>408</v>
      </c>
      <c r="D42" s="163" t="s">
        <v>66</v>
      </c>
      <c r="E42" s="163">
        <v>8</v>
      </c>
      <c r="F42" s="164">
        <f>C10</f>
        <v>8</v>
      </c>
      <c r="G42" s="165" t="s">
        <v>85</v>
      </c>
      <c r="H42" s="152"/>
      <c r="I42" s="184" t="s">
        <v>409</v>
      </c>
      <c r="J42" s="178" t="s">
        <v>80</v>
      </c>
      <c r="K42" s="185" t="s">
        <v>410</v>
      </c>
      <c r="L42" s="186">
        <f>MAX(L45,L46,L47,L48)+L53</f>
        <v>244800</v>
      </c>
      <c r="M42" s="184" t="s">
        <v>82</v>
      </c>
      <c r="N42" s="171"/>
      <c r="O42" s="162" t="s">
        <v>411</v>
      </c>
      <c r="P42" s="163" t="s">
        <v>411</v>
      </c>
      <c r="Q42" s="163" t="s">
        <v>406</v>
      </c>
      <c r="R42" s="189">
        <f>VLOOKUP($E$38,$U$40:$AS$43,14,FALSE)</f>
        <v>124</v>
      </c>
      <c r="S42" s="190" t="s">
        <v>101</v>
      </c>
      <c r="T42" s="171"/>
      <c r="U42" s="209"/>
      <c r="V42" s="209"/>
      <c r="W42" s="209"/>
      <c r="X42" s="209"/>
      <c r="Y42" s="221"/>
      <c r="Z42" s="221"/>
      <c r="AA42" s="221"/>
      <c r="AB42" s="221"/>
      <c r="AC42" s="209"/>
      <c r="AD42" s="209"/>
      <c r="AE42" s="209"/>
      <c r="AF42" s="209"/>
      <c r="AG42" s="221"/>
      <c r="AH42" s="230"/>
      <c r="AI42" s="230"/>
      <c r="AJ42" s="230"/>
      <c r="AK42" s="230"/>
      <c r="AL42" s="230"/>
      <c r="AM42" s="230"/>
      <c r="AN42" s="209"/>
      <c r="AO42" s="209"/>
      <c r="AP42" s="209"/>
      <c r="AQ42" s="230"/>
      <c r="AR42" s="230"/>
      <c r="AS42" s="209"/>
    </row>
    <row r="43" hidden="1" spans="3:45">
      <c r="C43" s="159" t="s">
        <v>87</v>
      </c>
      <c r="D43" s="160"/>
      <c r="E43" s="160"/>
      <c r="F43" s="160"/>
      <c r="G43" s="161"/>
      <c r="H43" s="152"/>
      <c r="I43" s="184" t="s">
        <v>412</v>
      </c>
      <c r="J43" s="178" t="s">
        <v>61</v>
      </c>
      <c r="K43" s="185" t="s">
        <v>413</v>
      </c>
      <c r="L43" s="187">
        <f>1000000/L42</f>
        <v>4.08496732026144</v>
      </c>
      <c r="M43" s="184" t="s">
        <v>90</v>
      </c>
      <c r="N43" s="171"/>
      <c r="O43" s="162" t="s">
        <v>414</v>
      </c>
      <c r="P43" s="163" t="s">
        <v>415</v>
      </c>
      <c r="Q43" s="163" t="s">
        <v>406</v>
      </c>
      <c r="R43" s="189">
        <f>VLOOKUP($E$38,$U$40:$AS$43,13,FALSE)</f>
        <v>74400</v>
      </c>
      <c r="S43" s="190" t="s">
        <v>70</v>
      </c>
      <c r="T43" s="171"/>
      <c r="U43" s="209"/>
      <c r="V43" s="209"/>
      <c r="W43" s="209"/>
      <c r="X43" s="209"/>
      <c r="Y43" s="221"/>
      <c r="Z43" s="221"/>
      <c r="AA43" s="221"/>
      <c r="AB43" s="221"/>
      <c r="AC43" s="209"/>
      <c r="AD43" s="209"/>
      <c r="AE43" s="209"/>
      <c r="AF43" s="209"/>
      <c r="AG43" s="230"/>
      <c r="AH43" s="230"/>
      <c r="AI43" s="230"/>
      <c r="AJ43" s="230"/>
      <c r="AK43" s="230"/>
      <c r="AL43" s="230"/>
      <c r="AM43" s="230"/>
      <c r="AN43" s="209"/>
      <c r="AO43" s="209"/>
      <c r="AP43" s="209"/>
      <c r="AQ43" s="230"/>
      <c r="AR43" s="230"/>
      <c r="AS43" s="209"/>
    </row>
    <row r="44" hidden="1" spans="3:45">
      <c r="C44" s="162" t="s">
        <v>416</v>
      </c>
      <c r="D44" s="163" t="s">
        <v>87</v>
      </c>
      <c r="E44" s="163">
        <f>VLOOKUP($E$38,$U$40:$AS$43,22,FALSE)</f>
        <v>60000</v>
      </c>
      <c r="F44" s="164">
        <f>C8</f>
        <v>60000</v>
      </c>
      <c r="G44" s="166" t="s">
        <v>82</v>
      </c>
      <c r="H44" s="152"/>
      <c r="I44" s="159" t="s">
        <v>98</v>
      </c>
      <c r="J44" s="160"/>
      <c r="K44" s="160"/>
      <c r="L44" s="160"/>
      <c r="M44" s="161"/>
      <c r="N44" s="171"/>
      <c r="O44" s="162" t="s">
        <v>417</v>
      </c>
      <c r="P44" s="163" t="s">
        <v>418</v>
      </c>
      <c r="Q44" s="163" t="s">
        <v>406</v>
      </c>
      <c r="R44" s="189">
        <f>VLOOKUP($E$38,$U$40:$AS$43,15,FALSE)</f>
        <v>12</v>
      </c>
      <c r="S44" s="190" t="s">
        <v>85</v>
      </c>
      <c r="T44" s="171"/>
      <c r="U44" s="210"/>
      <c r="V44" s="210"/>
      <c r="W44" s="210"/>
      <c r="X44" s="210"/>
      <c r="Y44" s="210"/>
      <c r="Z44" s="210"/>
      <c r="AA44" s="210"/>
      <c r="AB44" s="210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</row>
    <row r="45" ht="54" hidden="1" spans="3:45">
      <c r="C45" s="162" t="s">
        <v>419</v>
      </c>
      <c r="D45" s="163" t="s">
        <v>104</v>
      </c>
      <c r="E45" s="163">
        <v>0</v>
      </c>
      <c r="F45" s="164">
        <f>C9</f>
        <v>0</v>
      </c>
      <c r="G45" s="166" t="s">
        <v>82</v>
      </c>
      <c r="H45" s="152"/>
      <c r="I45" s="184" t="s">
        <v>106</v>
      </c>
      <c r="J45" s="178" t="s">
        <v>107</v>
      </c>
      <c r="K45" s="185" t="s">
        <v>420</v>
      </c>
      <c r="L45" s="186">
        <f>ROUNDUP(((F52+R45+R49)*L41+R43)/1000,0)</f>
        <v>152922</v>
      </c>
      <c r="M45" s="188" t="s">
        <v>82</v>
      </c>
      <c r="N45" s="171"/>
      <c r="O45" s="162" t="s">
        <v>135</v>
      </c>
      <c r="P45" s="163" t="s">
        <v>421</v>
      </c>
      <c r="Q45" s="163" t="s">
        <v>406</v>
      </c>
      <c r="R45" s="189">
        <f>VLOOKUP($E$38,$U$40:$AS$43,19,FALSE)</f>
        <v>14</v>
      </c>
      <c r="S45" s="211" t="s">
        <v>109</v>
      </c>
      <c r="T45" s="171"/>
      <c r="U45" s="210"/>
      <c r="V45" s="210"/>
      <c r="W45" s="210"/>
      <c r="X45" s="210"/>
      <c r="Y45" s="210"/>
      <c r="Z45" s="210"/>
      <c r="AA45" s="210"/>
      <c r="AB45" s="210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</row>
    <row r="46" ht="27" hidden="1" spans="3:45">
      <c r="C46" s="159" t="s">
        <v>105</v>
      </c>
      <c r="D46" s="160"/>
      <c r="E46" s="160"/>
      <c r="F46" s="160"/>
      <c r="G46" s="161"/>
      <c r="H46" s="152"/>
      <c r="I46" s="184" t="s">
        <v>115</v>
      </c>
      <c r="J46" s="178" t="s">
        <v>116</v>
      </c>
      <c r="K46" s="185" t="s">
        <v>422</v>
      </c>
      <c r="L46" s="186">
        <f>ROUNDUP(F44-R47/R41+R46*L41/1000+F45+R43/1000,0)</f>
        <v>60122</v>
      </c>
      <c r="M46" s="188" t="s">
        <v>82</v>
      </c>
      <c r="N46" s="171"/>
      <c r="O46" s="162" t="s">
        <v>423</v>
      </c>
      <c r="P46" s="163" t="s">
        <v>424</v>
      </c>
      <c r="Q46" s="163" t="s">
        <v>406</v>
      </c>
      <c r="R46" s="189">
        <f>VLOOKUP($E$38,$U$40:$AS$43,16,FALSE)</f>
        <v>2</v>
      </c>
      <c r="S46" s="211" t="s">
        <v>109</v>
      </c>
      <c r="T46" s="171"/>
      <c r="U46" s="210"/>
      <c r="V46" s="210"/>
      <c r="W46" s="210"/>
      <c r="X46" s="210"/>
      <c r="Y46" s="210"/>
      <c r="Z46" s="210"/>
      <c r="AA46" s="222"/>
      <c r="AB46" s="210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</row>
    <row r="47" ht="27" hidden="1" spans="3:45">
      <c r="C47" s="162" t="s">
        <v>425</v>
      </c>
      <c r="D47" s="163" t="s">
        <v>426</v>
      </c>
      <c r="E47" s="163">
        <v>0</v>
      </c>
      <c r="F47" s="164">
        <v>0</v>
      </c>
      <c r="G47" s="165" t="s">
        <v>82</v>
      </c>
      <c r="H47" s="152"/>
      <c r="I47" s="162" t="s">
        <v>132</v>
      </c>
      <c r="J47" s="163" t="s">
        <v>133</v>
      </c>
      <c r="K47" s="163" t="s">
        <v>427</v>
      </c>
      <c r="L47" s="189">
        <f>ROUNDUP((1000000/F62)*F61,0)</f>
        <v>0</v>
      </c>
      <c r="M47" s="190" t="s">
        <v>82</v>
      </c>
      <c r="N47" s="171"/>
      <c r="O47" s="162" t="s">
        <v>428</v>
      </c>
      <c r="P47" s="163" t="s">
        <v>429</v>
      </c>
      <c r="Q47" s="163" t="s">
        <v>406</v>
      </c>
      <c r="R47" s="189">
        <f>VLOOKUP($E$38,$U$40:$AS$43,17,FALSE)</f>
        <v>636</v>
      </c>
      <c r="S47" s="190" t="s">
        <v>430</v>
      </c>
      <c r="T47" s="171"/>
      <c r="U47" s="212"/>
      <c r="V47" s="212"/>
      <c r="W47" s="212"/>
      <c r="X47" s="212"/>
      <c r="Y47" s="212"/>
      <c r="Z47" s="212"/>
      <c r="AA47" s="223"/>
      <c r="AB47" s="223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</row>
    <row r="48" ht="27" hidden="1" spans="3:45">
      <c r="C48" s="159" t="s">
        <v>131</v>
      </c>
      <c r="D48" s="160"/>
      <c r="E48" s="160"/>
      <c r="F48" s="160"/>
      <c r="G48" s="161"/>
      <c r="H48" s="152"/>
      <c r="I48" s="162" t="s">
        <v>143</v>
      </c>
      <c r="J48" s="168" t="s">
        <v>144</v>
      </c>
      <c r="K48" s="185" t="s">
        <v>431</v>
      </c>
      <c r="L48" s="189">
        <f>R79</f>
        <v>244800</v>
      </c>
      <c r="M48" s="190" t="s">
        <v>82</v>
      </c>
      <c r="N48" s="171"/>
      <c r="O48" s="162" t="s">
        <v>432</v>
      </c>
      <c r="P48" s="163" t="s">
        <v>433</v>
      </c>
      <c r="Q48" s="163" t="s">
        <v>406</v>
      </c>
      <c r="R48" s="189">
        <f>VLOOKUP($E$38,$U$40:$AS$43,18,FALSE)</f>
        <v>6</v>
      </c>
      <c r="S48" s="190" t="s">
        <v>109</v>
      </c>
      <c r="T48" s="171"/>
      <c r="U48" s="212"/>
      <c r="V48" s="213"/>
      <c r="W48" s="213"/>
      <c r="X48" s="213"/>
      <c r="Y48" s="213"/>
      <c r="Z48" s="213"/>
      <c r="AA48" s="224"/>
      <c r="AB48" s="224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</row>
    <row r="49" hidden="1" spans="3:45">
      <c r="C49" s="162" t="s">
        <v>142</v>
      </c>
      <c r="D49" s="163" t="s">
        <v>141</v>
      </c>
      <c r="E49" s="163">
        <v>0</v>
      </c>
      <c r="F49" s="164">
        <v>0</v>
      </c>
      <c r="G49" s="165" t="s">
        <v>101</v>
      </c>
      <c r="H49" s="152"/>
      <c r="I49" s="159" t="s">
        <v>434</v>
      </c>
      <c r="J49" s="160"/>
      <c r="K49" s="160"/>
      <c r="L49" s="160"/>
      <c r="M49" s="161"/>
      <c r="N49" s="171"/>
      <c r="O49" s="162" t="s">
        <v>435</v>
      </c>
      <c r="P49" s="163" t="s">
        <v>436</v>
      </c>
      <c r="Q49" s="163" t="s">
        <v>406</v>
      </c>
      <c r="R49" s="189">
        <v>2</v>
      </c>
      <c r="S49" s="190" t="s">
        <v>109</v>
      </c>
      <c r="T49" s="171"/>
      <c r="U49" s="212"/>
      <c r="V49" s="213"/>
      <c r="W49" s="213"/>
      <c r="X49" s="213"/>
      <c r="Y49" s="213"/>
      <c r="Z49" s="213"/>
      <c r="AA49" s="224"/>
      <c r="AB49" s="224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</row>
    <row r="50" ht="40.5" hidden="1" spans="3:45">
      <c r="C50" s="167" t="s">
        <v>153</v>
      </c>
      <c r="D50" s="168" t="s">
        <v>152</v>
      </c>
      <c r="E50" s="168">
        <v>0</v>
      </c>
      <c r="F50" s="169">
        <v>0</v>
      </c>
      <c r="G50" s="166" t="s">
        <v>101</v>
      </c>
      <c r="H50" s="152"/>
      <c r="I50" s="167" t="s">
        <v>416</v>
      </c>
      <c r="J50" s="168" t="s">
        <v>437</v>
      </c>
      <c r="K50" s="168" t="s">
        <v>438</v>
      </c>
      <c r="L50" s="186">
        <f>ROUNDUP((1000*F44-1000*R47/R41)/1000,0)</f>
        <v>59988</v>
      </c>
      <c r="M50" s="188" t="s">
        <v>82</v>
      </c>
      <c r="N50" s="171"/>
      <c r="O50" s="159" t="s">
        <v>439</v>
      </c>
      <c r="P50" s="160"/>
      <c r="Q50" s="160"/>
      <c r="R50" s="160"/>
      <c r="S50" s="16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</row>
    <row r="51" ht="27" hidden="1" spans="3:45">
      <c r="C51" s="167" t="s">
        <v>159</v>
      </c>
      <c r="D51" s="168" t="s">
        <v>29</v>
      </c>
      <c r="E51" s="168">
        <f>VLOOKUP($E$38,$U$40:$AS$43,23,FALSE)</f>
        <v>5120</v>
      </c>
      <c r="F51" s="169">
        <f>C4</f>
        <v>5120</v>
      </c>
      <c r="G51" s="166" t="s">
        <v>101</v>
      </c>
      <c r="H51" s="152"/>
      <c r="I51" s="167" t="s">
        <v>440</v>
      </c>
      <c r="J51" s="168" t="s">
        <v>441</v>
      </c>
      <c r="K51" s="168" t="s">
        <v>103</v>
      </c>
      <c r="L51" s="186">
        <f>F45</f>
        <v>0</v>
      </c>
      <c r="M51" s="191" t="s">
        <v>109</v>
      </c>
      <c r="N51" s="171"/>
      <c r="O51" s="156" t="s">
        <v>49</v>
      </c>
      <c r="P51" s="157" t="s">
        <v>50</v>
      </c>
      <c r="Q51" s="157" t="s">
        <v>51</v>
      </c>
      <c r="R51" s="157" t="s">
        <v>62</v>
      </c>
      <c r="S51" s="206" t="s">
        <v>53</v>
      </c>
      <c r="T51" s="180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</row>
    <row r="52" ht="94.5" hidden="1" spans="3:45">
      <c r="C52" s="167" t="s">
        <v>167</v>
      </c>
      <c r="D52" s="168" t="s">
        <v>30</v>
      </c>
      <c r="E52" s="168">
        <f>VLOOKUP($E$38,$U$40:$AS$43,24,FALSE)</f>
        <v>5120</v>
      </c>
      <c r="F52" s="169">
        <f>C5</f>
        <v>5120</v>
      </c>
      <c r="G52" s="166" t="s">
        <v>101</v>
      </c>
      <c r="H52" s="152"/>
      <c r="I52" s="167" t="s">
        <v>442</v>
      </c>
      <c r="J52" s="168" t="s">
        <v>443</v>
      </c>
      <c r="K52" s="168" t="s">
        <v>444</v>
      </c>
      <c r="L52" s="186">
        <f>IF((MAX(L45,L46,L47,L48)-L50)&lt;L45,(IF((MAX(L45,L46,L47,L48)-L50)&gt;=(L45-ROUNDUP(6*L41/1000,0)),1,0)),0)</f>
        <v>0</v>
      </c>
      <c r="M52" s="191" t="s">
        <v>85</v>
      </c>
      <c r="N52" s="171"/>
      <c r="O52" s="162" t="s">
        <v>222</v>
      </c>
      <c r="P52" s="163" t="s">
        <v>223</v>
      </c>
      <c r="Q52" s="163" t="s">
        <v>224</v>
      </c>
      <c r="R52" s="189">
        <v>7</v>
      </c>
      <c r="S52" s="190" t="s">
        <v>182</v>
      </c>
      <c r="T52" s="180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</row>
    <row r="53" ht="40.5" hidden="1" spans="3:45">
      <c r="C53" s="159" t="s">
        <v>171</v>
      </c>
      <c r="D53" s="160"/>
      <c r="E53" s="160"/>
      <c r="F53" s="160"/>
      <c r="G53" s="161"/>
      <c r="H53" s="152"/>
      <c r="I53" s="167" t="s">
        <v>445</v>
      </c>
      <c r="J53" s="168" t="s">
        <v>446</v>
      </c>
      <c r="K53" s="168" t="s">
        <v>447</v>
      </c>
      <c r="L53" s="186">
        <f>IF(L52=1,L45-(MAX(L45,L46,L47,L48)-L50),0)</f>
        <v>0</v>
      </c>
      <c r="M53" s="191" t="s">
        <v>82</v>
      </c>
      <c r="N53" s="171"/>
      <c r="O53" s="162" t="s">
        <v>226</v>
      </c>
      <c r="P53" s="163" t="s">
        <v>227</v>
      </c>
      <c r="Q53" s="163" t="s">
        <v>228</v>
      </c>
      <c r="R53" s="189">
        <v>1</v>
      </c>
      <c r="S53" s="190" t="s">
        <v>182</v>
      </c>
      <c r="T53" s="180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</row>
    <row r="54" ht="27" hidden="1" spans="3:45">
      <c r="C54" s="167" t="s">
        <v>448</v>
      </c>
      <c r="D54" s="168" t="s">
        <v>191</v>
      </c>
      <c r="E54" s="170">
        <v>0</v>
      </c>
      <c r="F54" s="169">
        <v>0</v>
      </c>
      <c r="G54" s="166" t="s">
        <v>85</v>
      </c>
      <c r="H54" s="152"/>
      <c r="I54" s="159" t="s">
        <v>347</v>
      </c>
      <c r="J54" s="160"/>
      <c r="K54" s="160"/>
      <c r="L54" s="160"/>
      <c r="M54" s="161"/>
      <c r="N54" s="171"/>
      <c r="O54" s="162" t="s">
        <v>229</v>
      </c>
      <c r="P54" s="163" t="s">
        <v>230</v>
      </c>
      <c r="Q54" s="163" t="s">
        <v>231</v>
      </c>
      <c r="R54" s="189">
        <v>14</v>
      </c>
      <c r="S54" s="190" t="s">
        <v>182</v>
      </c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</row>
    <row r="55" ht="41.25" hidden="1" spans="3:45">
      <c r="C55" s="159" t="s">
        <v>449</v>
      </c>
      <c r="D55" s="160"/>
      <c r="E55" s="160"/>
      <c r="F55" s="160"/>
      <c r="G55" s="161"/>
      <c r="H55" s="152"/>
      <c r="I55" s="167" t="s">
        <v>450</v>
      </c>
      <c r="J55" s="168" t="s">
        <v>451</v>
      </c>
      <c r="K55" s="168" t="s">
        <v>452</v>
      </c>
      <c r="L55" s="192">
        <f>L43*R68</f>
        <v>107084967.320261</v>
      </c>
      <c r="M55" s="193" t="s">
        <v>195</v>
      </c>
      <c r="N55" s="171"/>
      <c r="O55" s="162" t="s">
        <v>234</v>
      </c>
      <c r="P55" s="163" t="s">
        <v>235</v>
      </c>
      <c r="Q55" s="163" t="s">
        <v>236</v>
      </c>
      <c r="R55" s="189">
        <v>20</v>
      </c>
      <c r="S55" s="190" t="s">
        <v>182</v>
      </c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</row>
    <row r="56" ht="27" hidden="1" spans="3:45">
      <c r="C56" s="167" t="s">
        <v>329</v>
      </c>
      <c r="D56" s="168" t="s">
        <v>453</v>
      </c>
      <c r="E56" s="170" t="s">
        <v>85</v>
      </c>
      <c r="F56" s="169">
        <f>C16</f>
        <v>1000</v>
      </c>
      <c r="G56" s="166" t="s">
        <v>454</v>
      </c>
      <c r="H56" s="171"/>
      <c r="I56" s="194" t="s">
        <v>455</v>
      </c>
      <c r="J56" s="195" t="s">
        <v>456</v>
      </c>
      <c r="K56" s="168" t="s">
        <v>457</v>
      </c>
      <c r="L56" s="186">
        <f>L43*R75</f>
        <v>111620236.928105</v>
      </c>
      <c r="M56" s="193" t="s">
        <v>195</v>
      </c>
      <c r="N56" s="171"/>
      <c r="O56" s="162" t="s">
        <v>237</v>
      </c>
      <c r="P56" s="163" t="s">
        <v>238</v>
      </c>
      <c r="Q56" s="163" t="s">
        <v>239</v>
      </c>
      <c r="R56" s="189">
        <v>8</v>
      </c>
      <c r="S56" s="190" t="s">
        <v>182</v>
      </c>
      <c r="T56" s="171"/>
      <c r="U56" s="214" t="s">
        <v>112</v>
      </c>
      <c r="V56" s="215"/>
      <c r="W56" s="215"/>
      <c r="X56" s="215"/>
      <c r="Y56" s="225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</row>
    <row r="57" ht="81" hidden="1" spans="3:45">
      <c r="C57" s="167" t="s">
        <v>458</v>
      </c>
      <c r="D57" s="168" t="s">
        <v>33</v>
      </c>
      <c r="E57" s="170">
        <v>1500</v>
      </c>
      <c r="F57" s="169">
        <f>C11</f>
        <v>1500</v>
      </c>
      <c r="G57" s="166" t="s">
        <v>182</v>
      </c>
      <c r="H57" s="171"/>
      <c r="I57" s="194" t="s">
        <v>459</v>
      </c>
      <c r="J57" s="195" t="s">
        <v>460</v>
      </c>
      <c r="K57" s="168" t="s">
        <v>461</v>
      </c>
      <c r="L57" s="186">
        <f>1250*F56*(100-F59)</f>
        <v>112500000</v>
      </c>
      <c r="M57" s="193" t="s">
        <v>195</v>
      </c>
      <c r="N57" s="171"/>
      <c r="O57" s="162" t="s">
        <v>242</v>
      </c>
      <c r="P57" s="163" t="s">
        <v>243</v>
      </c>
      <c r="Q57" s="163" t="s">
        <v>239</v>
      </c>
      <c r="R57" s="189">
        <v>8</v>
      </c>
      <c r="S57" s="190" t="s">
        <v>182</v>
      </c>
      <c r="T57" s="171"/>
      <c r="U57" s="156" t="s">
        <v>462</v>
      </c>
      <c r="V57" s="157" t="s">
        <v>463</v>
      </c>
      <c r="W57" s="157" t="s">
        <v>50</v>
      </c>
      <c r="X57" s="157" t="s">
        <v>51</v>
      </c>
      <c r="Y57" s="158" t="s">
        <v>58</v>
      </c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</row>
    <row r="58" ht="54" hidden="1" spans="3:45">
      <c r="C58" s="167" t="str">
        <f>"流通道包间隔(不包括12B最小值的部分) 
范围:0-"&amp;L59</f>
        <v>流通道包间隔(不包括12B最小值的部分) 
范围:0-61279</v>
      </c>
      <c r="D58" s="168" t="s">
        <v>34</v>
      </c>
      <c r="E58" s="170">
        <v>0</v>
      </c>
      <c r="F58" s="169">
        <f>C12</f>
        <v>0</v>
      </c>
      <c r="G58" s="166" t="s">
        <v>182</v>
      </c>
      <c r="H58" s="171"/>
      <c r="I58" s="159" t="s">
        <v>464</v>
      </c>
      <c r="J58" s="160"/>
      <c r="K58" s="160"/>
      <c r="L58" s="160"/>
      <c r="M58" s="161"/>
      <c r="N58" s="171"/>
      <c r="O58" s="162" t="s">
        <v>245</v>
      </c>
      <c r="P58" s="163" t="s">
        <v>246</v>
      </c>
      <c r="Q58" s="163" t="s">
        <v>247</v>
      </c>
      <c r="R58" s="189">
        <v>4</v>
      </c>
      <c r="S58" s="190" t="s">
        <v>182</v>
      </c>
      <c r="T58" s="171"/>
      <c r="U58" s="216" t="s">
        <v>465</v>
      </c>
      <c r="V58" s="168" t="s">
        <v>466</v>
      </c>
      <c r="W58" s="217" t="s">
        <v>467</v>
      </c>
      <c r="X58" s="163" t="s">
        <v>419</v>
      </c>
      <c r="Y58" s="193" t="str">
        <f>DEC2HEX(L51)</f>
        <v>0</v>
      </c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</row>
    <row r="59" ht="175.5" hidden="1" spans="3:45">
      <c r="C59" s="167" t="str">
        <f>"预留带宽 
范围:0-"&amp;L61</f>
        <v>预留带宽 
范围:0-97</v>
      </c>
      <c r="D59" s="168" t="s">
        <v>39</v>
      </c>
      <c r="E59" s="170">
        <v>10</v>
      </c>
      <c r="F59" s="169">
        <f>C17</f>
        <v>10</v>
      </c>
      <c r="G59" s="166" t="s">
        <v>468</v>
      </c>
      <c r="H59" s="171"/>
      <c r="I59" s="194" t="s">
        <v>469</v>
      </c>
      <c r="J59" s="196" t="s">
        <v>470</v>
      </c>
      <c r="K59" s="168" t="s">
        <v>471</v>
      </c>
      <c r="L59" s="186">
        <f>IF((ROUNDDOWN((R78-(R73+R74+R75))/(R69+R71+2),0)-12)&lt;IF(F56=100,18000,180000),ROUNDDOWN((R78-(R73+R74+R75))/(R69+R71+2),0)-12,IF(F56=100,18000,180000))</f>
        <v>61279</v>
      </c>
      <c r="M59" s="193" t="s">
        <v>182</v>
      </c>
      <c r="N59" s="171"/>
      <c r="O59" s="162" t="s">
        <v>250</v>
      </c>
      <c r="P59" s="163" t="s">
        <v>251</v>
      </c>
      <c r="Q59" s="163" t="s">
        <v>252</v>
      </c>
      <c r="R59" s="189">
        <v>12</v>
      </c>
      <c r="S59" s="190" t="s">
        <v>182</v>
      </c>
      <c r="T59" s="171"/>
      <c r="U59" s="218" t="s">
        <v>472</v>
      </c>
      <c r="V59" s="168" t="s">
        <v>473</v>
      </c>
      <c r="W59" s="217" t="s">
        <v>474</v>
      </c>
      <c r="X59" s="163" t="s">
        <v>416</v>
      </c>
      <c r="Y59" s="226" t="str">
        <f>DEC2HEX(L50)</f>
        <v>EA54</v>
      </c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</row>
    <row r="60" ht="54" hidden="1" spans="3:45">
      <c r="C60" s="159" t="s">
        <v>244</v>
      </c>
      <c r="D60" s="160"/>
      <c r="E60" s="160"/>
      <c r="F60" s="160"/>
      <c r="G60" s="161"/>
      <c r="H60" s="171"/>
      <c r="I60" s="159" t="s">
        <v>475</v>
      </c>
      <c r="J60" s="160"/>
      <c r="K60" s="160"/>
      <c r="L60" s="160"/>
      <c r="M60" s="161"/>
      <c r="N60" s="171"/>
      <c r="O60" s="162" t="s">
        <v>255</v>
      </c>
      <c r="P60" s="168" t="s">
        <v>256</v>
      </c>
      <c r="Q60" s="163" t="s">
        <v>257</v>
      </c>
      <c r="R60" s="189">
        <f>R55+R56+R57</f>
        <v>36</v>
      </c>
      <c r="S60" s="190" t="s">
        <v>182</v>
      </c>
      <c r="T60" s="171"/>
      <c r="U60" s="218" t="s">
        <v>476</v>
      </c>
      <c r="V60" s="168" t="s">
        <v>477</v>
      </c>
      <c r="W60" s="217" t="s">
        <v>478</v>
      </c>
      <c r="X60" s="178" t="s">
        <v>409</v>
      </c>
      <c r="Y60" s="226" t="str">
        <f>DEC2HEX(MAX(L45,L46,L47,L48))</f>
        <v>3BC40</v>
      </c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</row>
    <row r="61" ht="108.75" hidden="1" spans="3:45">
      <c r="C61" s="162" t="s">
        <v>479</v>
      </c>
      <c r="D61" s="163" t="s">
        <v>248</v>
      </c>
      <c r="E61" s="163">
        <v>0</v>
      </c>
      <c r="F61" s="164">
        <f>C15</f>
        <v>0</v>
      </c>
      <c r="G61" s="165" t="s">
        <v>85</v>
      </c>
      <c r="H61" s="171"/>
      <c r="I61" s="197" t="s">
        <v>480</v>
      </c>
      <c r="J61" s="198" t="s">
        <v>475</v>
      </c>
      <c r="K61" s="199" t="s">
        <v>481</v>
      </c>
      <c r="L61" s="200">
        <f>IF((100-ROUNDDOWN(10*R77/(125000*F56),0)-1)&lt;0,0,(100-ROUNDDOWN(10*R77/(125000*F56),0)-1))</f>
        <v>97</v>
      </c>
      <c r="M61" s="201" t="s">
        <v>468</v>
      </c>
      <c r="N61" s="171"/>
      <c r="O61" s="162" t="s">
        <v>258</v>
      </c>
      <c r="P61" s="168" t="s">
        <v>259</v>
      </c>
      <c r="Q61" s="163" t="s">
        <v>260</v>
      </c>
      <c r="R61" s="189">
        <f>R52+R53+R54+R58</f>
        <v>26</v>
      </c>
      <c r="S61" s="190" t="s">
        <v>182</v>
      </c>
      <c r="T61" s="171"/>
      <c r="U61" s="218" t="s">
        <v>482</v>
      </c>
      <c r="V61" s="168" t="s">
        <v>483</v>
      </c>
      <c r="W61" s="217" t="s">
        <v>484</v>
      </c>
      <c r="X61" s="178" t="s">
        <v>409</v>
      </c>
      <c r="Y61" s="226" t="str">
        <f>DEC2HEX(MAX(L45,L46,L47))</f>
        <v>2555A</v>
      </c>
      <c r="Z61" s="171"/>
      <c r="AA61" s="171"/>
      <c r="AB61" s="171"/>
      <c r="AC61" s="171"/>
      <c r="AD61" s="171"/>
      <c r="AE61" s="171"/>
      <c r="AF61" s="171"/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</row>
    <row r="62" ht="54" hidden="1" spans="3:45">
      <c r="C62" s="172" t="s">
        <v>244</v>
      </c>
      <c r="D62" s="173" t="s">
        <v>253</v>
      </c>
      <c r="E62" s="174">
        <f>VLOOKUP($E$38,$U$40:$AS$43,25,FALSE)</f>
        <v>4</v>
      </c>
      <c r="F62" s="175">
        <f>C14</f>
        <v>4.5</v>
      </c>
      <c r="G62" s="176" t="s">
        <v>90</v>
      </c>
      <c r="H62" s="177"/>
      <c r="I62" s="177"/>
      <c r="J62" s="177"/>
      <c r="K62" s="177"/>
      <c r="L62" s="177"/>
      <c r="M62" s="177"/>
      <c r="N62" s="177"/>
      <c r="O62" s="162" t="s">
        <v>261</v>
      </c>
      <c r="P62" s="163" t="s">
        <v>262</v>
      </c>
      <c r="Q62" s="163" t="s">
        <v>263</v>
      </c>
      <c r="R62" s="189">
        <f>64-R54-R58-R60</f>
        <v>10</v>
      </c>
      <c r="S62" s="190" t="s">
        <v>182</v>
      </c>
      <c r="T62" s="177"/>
      <c r="U62" s="218" t="s">
        <v>485</v>
      </c>
      <c r="V62" s="168" t="s">
        <v>486</v>
      </c>
      <c r="W62" s="217" t="s">
        <v>487</v>
      </c>
      <c r="X62" s="163" t="s">
        <v>106</v>
      </c>
      <c r="Y62" s="226" t="str">
        <f>DEC2HEX(L45)</f>
        <v>2555A</v>
      </c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</row>
    <row r="63" ht="40.5" hidden="1" spans="3:45">
      <c r="C63" s="159" t="s">
        <v>488</v>
      </c>
      <c r="D63" s="160"/>
      <c r="E63" s="160"/>
      <c r="F63" s="160"/>
      <c r="G63" s="161"/>
      <c r="H63" s="177"/>
      <c r="I63" s="171"/>
      <c r="J63" s="171"/>
      <c r="K63" s="171"/>
      <c r="L63" s="171"/>
      <c r="M63" s="171"/>
      <c r="N63" s="177"/>
      <c r="O63" s="159" t="s">
        <v>264</v>
      </c>
      <c r="P63" s="160"/>
      <c r="Q63" s="160"/>
      <c r="R63" s="160"/>
      <c r="S63" s="161"/>
      <c r="T63" s="177"/>
      <c r="U63" s="216" t="s">
        <v>489</v>
      </c>
      <c r="V63" s="168" t="s">
        <v>490</v>
      </c>
      <c r="W63" s="217" t="s">
        <v>491</v>
      </c>
      <c r="X63" s="163" t="s">
        <v>492</v>
      </c>
      <c r="Y63" s="193" t="str">
        <f>DEC2HEX(ROUNDUP(F52+R48+4,0))</f>
        <v>140A</v>
      </c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</row>
    <row r="64" ht="27" hidden="1" spans="3:45">
      <c r="C64" s="162" t="s">
        <v>493</v>
      </c>
      <c r="D64" s="178" t="s">
        <v>494</v>
      </c>
      <c r="E64" s="163">
        <v>1</v>
      </c>
      <c r="F64" s="164">
        <v>1</v>
      </c>
      <c r="G64" s="165" t="s">
        <v>85</v>
      </c>
      <c r="H64" s="171"/>
      <c r="I64" s="171"/>
      <c r="J64" s="171"/>
      <c r="K64" s="171"/>
      <c r="L64" s="171"/>
      <c r="M64" s="171"/>
      <c r="N64" s="171"/>
      <c r="O64" s="156" t="s">
        <v>49</v>
      </c>
      <c r="P64" s="157" t="s">
        <v>50</v>
      </c>
      <c r="Q64" s="157" t="s">
        <v>51</v>
      </c>
      <c r="R64" s="157" t="s">
        <v>62</v>
      </c>
      <c r="S64" s="206" t="s">
        <v>53</v>
      </c>
      <c r="T64" s="171"/>
      <c r="U64" s="219" t="s">
        <v>157</v>
      </c>
      <c r="V64" s="168" t="s">
        <v>495</v>
      </c>
      <c r="W64" s="168" t="s">
        <v>496</v>
      </c>
      <c r="X64" s="168" t="s">
        <v>85</v>
      </c>
      <c r="Y64" s="226" t="s">
        <v>497</v>
      </c>
      <c r="Z64" s="177"/>
      <c r="AA64" s="177"/>
      <c r="AB64" s="171"/>
      <c r="AC64" s="171"/>
      <c r="AD64" s="171"/>
      <c r="AE64" s="171"/>
      <c r="AF64" s="171"/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</row>
    <row r="65" ht="68.25" hidden="1" spans="3:45">
      <c r="C65" s="234" t="s">
        <v>498</v>
      </c>
      <c r="D65" s="235" t="s">
        <v>499</v>
      </c>
      <c r="E65" s="236">
        <v>1</v>
      </c>
      <c r="F65" s="164">
        <v>4</v>
      </c>
      <c r="G65" s="237" t="s">
        <v>85</v>
      </c>
      <c r="H65" s="171"/>
      <c r="I65" s="171"/>
      <c r="J65" s="171"/>
      <c r="K65" s="171"/>
      <c r="L65" s="171"/>
      <c r="M65" s="171"/>
      <c r="N65" s="171"/>
      <c r="O65" s="162" t="s">
        <v>500</v>
      </c>
      <c r="P65" s="168" t="s">
        <v>501</v>
      </c>
      <c r="Q65" s="163" t="s">
        <v>266</v>
      </c>
      <c r="R65" s="189">
        <f>36</f>
        <v>36</v>
      </c>
      <c r="S65" s="190" t="s">
        <v>182</v>
      </c>
      <c r="T65" s="171"/>
      <c r="U65" s="247" t="s">
        <v>502</v>
      </c>
      <c r="V65" s="248" t="s">
        <v>503</v>
      </c>
      <c r="W65" s="248" t="s">
        <v>504</v>
      </c>
      <c r="X65" s="236" t="s">
        <v>505</v>
      </c>
      <c r="Y65" s="201" t="e">
        <f>DEC2HEX(ROUNDUP(L41*R41/1000,0)-F51/VLOOKUP($C$4,$S$8:$AQ$18,5,FALSE)/VLOOKUP($C$4,$S$8:$AQ$18,6,FALSE))</f>
        <v>#N/A</v>
      </c>
      <c r="Z65" s="177"/>
      <c r="AA65" s="177"/>
      <c r="AB65" s="171"/>
      <c r="AC65" s="171"/>
      <c r="AD65" s="171"/>
      <c r="AE65" s="171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</row>
    <row r="66" ht="40.5" hidden="1" spans="3:45">
      <c r="C66" s="238" t="s">
        <v>358</v>
      </c>
      <c r="D66" s="239"/>
      <c r="E66" s="239"/>
      <c r="F66" s="239"/>
      <c r="G66" s="240"/>
      <c r="H66" s="171"/>
      <c r="I66" s="171"/>
      <c r="J66" s="171"/>
      <c r="K66" s="171"/>
      <c r="L66" s="171"/>
      <c r="M66" s="171"/>
      <c r="N66" s="171"/>
      <c r="O66" s="162" t="s">
        <v>506</v>
      </c>
      <c r="P66" s="168" t="s">
        <v>507</v>
      </c>
      <c r="Q66" s="163" t="s">
        <v>268</v>
      </c>
      <c r="R66" s="189">
        <v>10</v>
      </c>
      <c r="S66" s="190" t="s">
        <v>182</v>
      </c>
      <c r="T66" s="171"/>
      <c r="U66" s="177"/>
      <c r="V66" s="177"/>
      <c r="W66" s="177"/>
      <c r="X66" s="177"/>
      <c r="Y66" s="177"/>
      <c r="Z66" s="177"/>
      <c r="AA66" s="177"/>
      <c r="AB66" s="171"/>
      <c r="AC66" s="171"/>
      <c r="AD66" s="171"/>
      <c r="AE66" s="171"/>
      <c r="AF66" s="171"/>
      <c r="AG66" s="171"/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</row>
    <row r="67" ht="27.75" hidden="1" spans="3:45">
      <c r="C67" s="241" t="s">
        <v>61</v>
      </c>
      <c r="D67" s="242" t="s">
        <v>508</v>
      </c>
      <c r="E67" s="242"/>
      <c r="F67" s="243">
        <f>L43</f>
        <v>4.08496732026144</v>
      </c>
      <c r="G67" s="244"/>
      <c r="H67" s="171"/>
      <c r="I67" s="171"/>
      <c r="J67" s="171"/>
      <c r="K67" s="171"/>
      <c r="L67" s="171"/>
      <c r="M67" s="171"/>
      <c r="N67" s="171"/>
      <c r="O67" s="167" t="s">
        <v>196</v>
      </c>
      <c r="P67" s="168" t="s">
        <v>509</v>
      </c>
      <c r="Q67" s="168" t="s">
        <v>510</v>
      </c>
      <c r="R67" s="192">
        <f>C4*C5*IF(F42=8,1,2)</f>
        <v>26214400</v>
      </c>
      <c r="S67" s="190" t="s">
        <v>182</v>
      </c>
      <c r="T67" s="171"/>
      <c r="U67" s="177"/>
      <c r="V67" s="177"/>
      <c r="W67" s="177"/>
      <c r="X67" s="177"/>
      <c r="Y67" s="177"/>
      <c r="Z67" s="171"/>
      <c r="AA67" s="171"/>
      <c r="AB67" s="177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</row>
    <row r="68" ht="27" hidden="1" spans="3:45">
      <c r="C68" s="177"/>
      <c r="D68" s="177"/>
      <c r="E68" s="177"/>
      <c r="F68" s="177"/>
      <c r="G68" s="177"/>
      <c r="H68" s="171"/>
      <c r="I68" s="177"/>
      <c r="J68" s="177"/>
      <c r="K68" s="177"/>
      <c r="L68" s="177"/>
      <c r="M68" s="177"/>
      <c r="N68" s="171"/>
      <c r="O68" s="162" t="s">
        <v>270</v>
      </c>
      <c r="P68" s="168" t="s">
        <v>511</v>
      </c>
      <c r="Q68" s="168" t="s">
        <v>512</v>
      </c>
      <c r="R68" s="249">
        <f>R67+32*F54</f>
        <v>26214400</v>
      </c>
      <c r="S68" s="190" t="s">
        <v>182</v>
      </c>
      <c r="T68" s="171"/>
      <c r="U68" s="171"/>
      <c r="V68" s="171"/>
      <c r="W68" s="171"/>
      <c r="X68" s="171"/>
      <c r="Y68" s="171"/>
      <c r="Z68" s="171"/>
      <c r="AA68" s="171"/>
      <c r="AB68" s="177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</row>
    <row r="69" ht="40.5" hidden="1" spans="3:45">
      <c r="C69" s="177"/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62" t="s">
        <v>273</v>
      </c>
      <c r="P69" s="168" t="s">
        <v>274</v>
      </c>
      <c r="Q69" s="163" t="s">
        <v>275</v>
      </c>
      <c r="R69" s="250">
        <f>INT(R68/(F57-R60))</f>
        <v>17906</v>
      </c>
      <c r="S69" s="190"/>
      <c r="T69" s="177"/>
      <c r="U69" s="171"/>
      <c r="V69" s="171"/>
      <c r="W69" s="171"/>
      <c r="X69" s="171"/>
      <c r="Y69" s="171"/>
      <c r="Z69" s="171"/>
      <c r="AA69" s="171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</row>
    <row r="70" ht="54" hidden="1" spans="3:45">
      <c r="C70" s="177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62" t="s">
        <v>276</v>
      </c>
      <c r="P70" s="168" t="s">
        <v>513</v>
      </c>
      <c r="Q70" s="163" t="s">
        <v>278</v>
      </c>
      <c r="R70" s="250">
        <f>R68-(F57-R60)*R69</f>
        <v>16</v>
      </c>
      <c r="S70" s="190" t="s">
        <v>182</v>
      </c>
      <c r="T70" s="177"/>
      <c r="U70" s="171"/>
      <c r="V70" s="171"/>
      <c r="W70" s="171"/>
      <c r="X70" s="171"/>
      <c r="Y70" s="171"/>
      <c r="Z70" s="171"/>
      <c r="AA70" s="171"/>
      <c r="AB70" s="171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</row>
    <row r="71" ht="27" hidden="1" spans="3:45">
      <c r="C71" s="171"/>
      <c r="D71" s="171"/>
      <c r="E71" s="171"/>
      <c r="F71" s="171"/>
      <c r="G71" s="171"/>
      <c r="H71" s="177"/>
      <c r="I71" s="171"/>
      <c r="J71" s="171"/>
      <c r="K71" s="171"/>
      <c r="L71" s="171"/>
      <c r="M71" s="171"/>
      <c r="N71" s="177"/>
      <c r="O71" s="184" t="s">
        <v>279</v>
      </c>
      <c r="P71" s="185" t="s">
        <v>280</v>
      </c>
      <c r="Q71" s="178" t="s">
        <v>514</v>
      </c>
      <c r="R71" s="189">
        <f>IF(MOD(R67,(F57-R60))=0,0,1)</f>
        <v>1</v>
      </c>
      <c r="S71" s="190"/>
      <c r="T71" s="177"/>
      <c r="U71" s="171"/>
      <c r="V71" s="171"/>
      <c r="W71" s="171"/>
      <c r="X71" s="171"/>
      <c r="Y71" s="171"/>
      <c r="Z71" s="171"/>
      <c r="AA71" s="171"/>
      <c r="AB71" s="171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</row>
    <row r="72" ht="54" hidden="1" spans="3:45"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62" t="s">
        <v>282</v>
      </c>
      <c r="P72" s="168" t="s">
        <v>515</v>
      </c>
      <c r="Q72" s="178" t="s">
        <v>284</v>
      </c>
      <c r="R72" s="250">
        <f>IF(R70&lt;R62,R62,R70)</f>
        <v>16</v>
      </c>
      <c r="S72" s="190" t="s">
        <v>182</v>
      </c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</row>
    <row r="73" ht="27" hidden="1" spans="3:45"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84" t="s">
        <v>285</v>
      </c>
      <c r="P73" s="185" t="s">
        <v>516</v>
      </c>
      <c r="Q73" s="178" t="s">
        <v>287</v>
      </c>
      <c r="R73" s="250">
        <f>R61+R60+R65</f>
        <v>98</v>
      </c>
      <c r="S73" s="190" t="s">
        <v>182</v>
      </c>
      <c r="T73" s="171"/>
      <c r="U73" s="171"/>
      <c r="V73" s="171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/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</row>
    <row r="74" ht="27" hidden="1" spans="3:45"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84" t="s">
        <v>288</v>
      </c>
      <c r="P74" s="185" t="s">
        <v>517</v>
      </c>
      <c r="Q74" s="178" t="s">
        <v>518</v>
      </c>
      <c r="R74" s="250">
        <f>R61+R60+R66</f>
        <v>72</v>
      </c>
      <c r="S74" s="190" t="s">
        <v>182</v>
      </c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</row>
    <row r="75" ht="81" hidden="1" spans="3:45">
      <c r="C75" s="171"/>
      <c r="D75" s="171"/>
      <c r="E75" s="171"/>
      <c r="F75" s="171"/>
      <c r="G75" s="171"/>
      <c r="H75" s="171"/>
      <c r="I75" s="171"/>
      <c r="J75" s="171"/>
      <c r="K75" s="152"/>
      <c r="L75" s="171"/>
      <c r="M75" s="171"/>
      <c r="N75" s="171"/>
      <c r="O75" s="184" t="s">
        <v>290</v>
      </c>
      <c r="P75" s="185" t="s">
        <v>519</v>
      </c>
      <c r="Q75" s="178" t="s">
        <v>520</v>
      </c>
      <c r="R75" s="250">
        <f>R69*(F57+R61)+R71*(R72+R61+R60)</f>
        <v>27324634</v>
      </c>
      <c r="S75" s="190" t="s">
        <v>182</v>
      </c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</row>
    <row r="76" ht="54" hidden="1" spans="3:45"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245" t="s">
        <v>293</v>
      </c>
      <c r="P76" s="185" t="s">
        <v>521</v>
      </c>
      <c r="Q76" s="185" t="s">
        <v>522</v>
      </c>
      <c r="R76" s="251">
        <f>(2+R71+R69)*(R59+F58)</f>
        <v>214908</v>
      </c>
      <c r="S76" s="193" t="s">
        <v>182</v>
      </c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</row>
    <row r="77" ht="40.5" hidden="1" spans="3:45"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67" t="s">
        <v>203</v>
      </c>
      <c r="P77" s="168" t="s">
        <v>523</v>
      </c>
      <c r="Q77" s="168" t="s">
        <v>297</v>
      </c>
      <c r="R77" s="192">
        <f>R73+R74+R75+R76</f>
        <v>27539712</v>
      </c>
      <c r="S77" s="193" t="s">
        <v>182</v>
      </c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</row>
    <row r="78" ht="27" hidden="1" spans="3:45"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245" t="s">
        <v>298</v>
      </c>
      <c r="P78" s="185" t="s">
        <v>299</v>
      </c>
      <c r="Q78" s="185" t="s">
        <v>300</v>
      </c>
      <c r="R78" s="186">
        <f>INT(1000000*F56*(100-F59)/80)</f>
        <v>1125000000</v>
      </c>
      <c r="S78" s="252" t="s">
        <v>524</v>
      </c>
      <c r="T78" s="171"/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/>
      <c r="AH78" s="171"/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</row>
    <row r="79" ht="41.25" hidden="1" spans="3:45"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246" t="s">
        <v>302</v>
      </c>
      <c r="P79" s="199" t="s">
        <v>303</v>
      </c>
      <c r="Q79" s="199" t="s">
        <v>525</v>
      </c>
      <c r="R79" s="200">
        <f>ROUNDUP(R77*1000000/R78,0)*10</f>
        <v>244800</v>
      </c>
      <c r="S79" s="253" t="s">
        <v>82</v>
      </c>
      <c r="T79" s="171"/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/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</row>
    <row r="80" hidden="1" spans="9:13">
      <c r="I80" s="171"/>
      <c r="J80" s="171"/>
      <c r="K80" s="171"/>
      <c r="L80" s="171"/>
      <c r="M80" s="171"/>
    </row>
    <row r="81" hidden="1" spans="9:19">
      <c r="I81" s="171"/>
      <c r="J81" s="171"/>
      <c r="K81" s="171"/>
      <c r="L81" s="171"/>
      <c r="M81" s="171"/>
      <c r="O81" s="149"/>
      <c r="P81" s="149"/>
      <c r="Q81" s="149"/>
      <c r="R81" s="149"/>
      <c r="S81" s="149"/>
    </row>
    <row r="82" hidden="1" spans="15:19">
      <c r="O82" s="149"/>
      <c r="P82" s="149"/>
      <c r="Q82" s="149"/>
      <c r="R82" s="149"/>
      <c r="S82" s="149"/>
    </row>
    <row r="83" hidden="1" spans="15:19">
      <c r="O83" s="149"/>
      <c r="P83" s="149"/>
      <c r="Q83" s="149"/>
      <c r="R83" s="149"/>
      <c r="S83" s="149"/>
    </row>
    <row r="84" hidden="1" spans="15:19">
      <c r="O84" s="149"/>
      <c r="P84" s="149"/>
      <c r="Q84" s="149"/>
      <c r="R84" s="149"/>
      <c r="S84" s="149"/>
    </row>
    <row r="85" hidden="1" spans="15:19">
      <c r="O85" s="149"/>
      <c r="P85" s="149"/>
      <c r="Q85" s="149"/>
      <c r="R85" s="149"/>
      <c r="S85" s="149"/>
    </row>
    <row r="86" spans="15:19">
      <c r="O86" s="149"/>
      <c r="P86" s="149"/>
      <c r="Q86" s="149"/>
      <c r="R86" s="149"/>
      <c r="S86" s="149"/>
    </row>
    <row r="87" spans="15:19">
      <c r="O87" s="149"/>
      <c r="P87" s="149"/>
      <c r="Q87" s="149"/>
      <c r="R87" s="149"/>
      <c r="S87" s="149"/>
    </row>
    <row r="88" spans="15:19">
      <c r="O88" s="149"/>
      <c r="P88" s="149"/>
      <c r="Q88" s="149"/>
      <c r="R88" s="149"/>
      <c r="S88" s="149"/>
    </row>
    <row r="89" spans="15:19">
      <c r="O89" s="149"/>
      <c r="P89" s="149"/>
      <c r="Q89" s="149"/>
      <c r="R89" s="149"/>
      <c r="S89" s="149"/>
    </row>
    <row r="90" spans="15:19">
      <c r="O90" s="149"/>
      <c r="P90" s="149"/>
      <c r="Q90" s="149"/>
      <c r="R90" s="149"/>
      <c r="S90" s="149"/>
    </row>
    <row r="91" spans="15:19">
      <c r="O91" s="149"/>
      <c r="P91" s="149"/>
      <c r="Q91" s="149"/>
      <c r="R91" s="149"/>
      <c r="S91" s="149"/>
    </row>
    <row r="92" spans="15:19">
      <c r="O92" s="149"/>
      <c r="P92" s="149"/>
      <c r="Q92" s="149"/>
      <c r="R92" s="149"/>
      <c r="S92" s="149"/>
    </row>
  </sheetData>
  <sheetProtection password="DE11" sheet="1" selectLockedCells="1" objects="1"/>
  <mergeCells count="25">
    <mergeCell ref="I38:M38"/>
    <mergeCell ref="O38:S38"/>
    <mergeCell ref="U38:AS38"/>
    <mergeCell ref="C39:G39"/>
    <mergeCell ref="I39:M39"/>
    <mergeCell ref="O39:S39"/>
    <mergeCell ref="C41:G41"/>
    <mergeCell ref="C43:G43"/>
    <mergeCell ref="I44:M44"/>
    <mergeCell ref="C46:G46"/>
    <mergeCell ref="C48:G48"/>
    <mergeCell ref="I49:M49"/>
    <mergeCell ref="O50:S50"/>
    <mergeCell ref="C53:G53"/>
    <mergeCell ref="I54:M54"/>
    <mergeCell ref="C55:G55"/>
    <mergeCell ref="U56:Y56"/>
    <mergeCell ref="I58:M58"/>
    <mergeCell ref="C60:G60"/>
    <mergeCell ref="I60:M60"/>
    <mergeCell ref="C63:G63"/>
    <mergeCell ref="O63:S63"/>
    <mergeCell ref="C66:G66"/>
    <mergeCell ref="D67:E67"/>
    <mergeCell ref="F67:G67"/>
  </mergeCells>
  <dataValidations count="30">
    <dataValidation allowBlank="1" showErrorMessage="1" promptTitle="参数变化" prompt="该参数会根据当前生效的水平像素Binning、水平像素抽样变化" sqref="C2"/>
    <dataValidation type="whole" operator="between" allowBlank="1" showInputMessage="1" showErrorMessage="1" error="设置值范围为0~包间隔最大值" sqref="C12">
      <formula1>0</formula1>
      <formula2>C13</formula2>
    </dataValidation>
    <dataValidation allowBlank="1" showInputMessage="1" showErrorMessage="1" error="输入范围是64~1024，步长为2" sqref="A1:C1"/>
    <dataValidation type="custom" allowBlank="1" showInputMessage="1" showErrorMessage="1" error="请输入8或者12" sqref="C10">
      <formula1>OR((C10=8),(C10=12))</formula1>
    </dataValidation>
    <dataValidation type="custom" allowBlank="1" showInputMessage="1" showErrorMessage="1" errorTitle="输入数值非法" error="输入范围是4~图像宽度最大值，步长为4" sqref="C4">
      <formula1>AND((C4&lt;=C2),(C4&gt;=4),(MOD(C4,4)=0))</formula1>
    </dataValidation>
    <dataValidation type="list" allowBlank="1" showInputMessage="1" showErrorMessage="1" sqref="F56">
      <formula1>"1000,100"</formula1>
    </dataValidation>
    <dataValidation allowBlank="1" showErrorMessage="1" promptTitle="参数变化" prompt="该参数会根据当前生效的垂直像素Binning、垂直像素抽样变化" sqref="C3"/>
    <dataValidation type="whole" operator="between" allowBlank="1" showInputMessage="1" showErrorMessage="1" errorTitle="超出范围" error="曝光时间的范围是14us-1s" sqref="C8 F44">
      <formula1>14</formula1>
      <formula2>1000000</formula2>
    </dataValidation>
    <dataValidation type="custom" allowBlank="1" showInputMessage="1" showErrorMessage="1" errorTitle="输入数值非法" error="输入范围是2~图像高度最大值，步长为2" sqref="C5">
      <formula1>AND((C5&lt;=C3),(C5&gt;=2),(MOD(C5,2)=0))</formula1>
    </dataValidation>
    <dataValidation type="whole" operator="between" allowBlank="1" showInputMessage="1" showErrorMessage="1" error="设置范围为0~预留带宽最大值" sqref="C17">
      <formula1>0</formula1>
      <formula2>C18</formula2>
    </dataValidation>
    <dataValidation type="whole" operator="between" allowBlank="1" showInputMessage="1" showErrorMessage="1" error="输入范围是[0,5000]，单位为us" sqref="C9">
      <formula1>0</formula1>
      <formula2>5000</formula2>
    </dataValidation>
    <dataValidation type="custom" allowBlank="1" showInputMessage="1" showErrorMessage="1" error="输入范围是512~8192，步长为4" sqref="C11">
      <formula1>AND((C11&lt;=8192),(C11&gt;=512),(MOD(C11,4)=0))</formula1>
    </dataValidation>
    <dataValidation type="custom" allowBlank="1" showInputMessage="1" showErrorMessage="1" error="设置值范围0.1~10000.0，精确到一位小数" sqref="C14">
      <formula1>AND(TRUNC(C14,1)=C14,(C14&gt;=0.1),(C14&lt;=10000))</formula1>
    </dataValidation>
    <dataValidation type="whole" operator="between" allowBlank="1" showInputMessage="1" showErrorMessage="1" errorTitle="超出范围" error="触发延时的范围是0-3000000us" sqref="F47">
      <formula1>0</formula1>
      <formula2>3000000</formula2>
    </dataValidation>
    <dataValidation type="list" allowBlank="1" showInputMessage="1" showErrorMessage="1" errorTitle="超出范围" error="请输入0或者1" sqref="C15">
      <formula1>"0,1"</formula1>
    </dataValidation>
    <dataValidation type="whole" operator="lessThanOrEqual" allowBlank="1" showErrorMessage="1" error="设置垂直Binning/Skipping时，需要同步修改垂直ROI" sqref="F65" errorStyle="information">
      <formula1>1</formula1>
    </dataValidation>
    <dataValidation type="custom" allowBlank="1" showInputMessage="1" showErrorMessage="1" error="请输入1000或者100" sqref="C16">
      <formula1>OR((C16=1000),(C16=100))</formula1>
    </dataValidation>
    <dataValidation type="list" allowBlank="1" showInputMessage="1" showErrorMessage="1" sqref="E38">
      <formula1>$S$8:$S$16</formula1>
    </dataValidation>
    <dataValidation type="list" allowBlank="1" showInputMessage="1" showErrorMessage="1" sqref="F42">
      <formula1>"8,12"</formula1>
    </dataValidation>
    <dataValidation type="whole" operator="between" allowBlank="1" showInputMessage="1" showErrorMessage="1" errorTitle="超出范围" error="曝光延迟的范围是0-5000us" sqref="F45">
      <formula1>0</formula1>
      <formula2>5000</formula2>
    </dataValidation>
    <dataValidation type="whole" operator="between" allowBlank="1" showInputMessage="1" showErrorMessage="1" errorTitle="输入数值非法" error="最小值4，最大值D12" sqref="F51">
      <formula1>4</formula1>
      <formula2>E51</formula2>
    </dataValidation>
    <dataValidation type="whole" operator="between" allowBlank="1" showInputMessage="1" showErrorMessage="1" errorTitle="输入数值非法" error="最小值2，最大值D13" sqref="F52">
      <formula1>2</formula1>
      <formula2>E52</formula2>
    </dataValidation>
    <dataValidation type="list" allowBlank="1" showInputMessage="1" showErrorMessage="1" sqref="F54">
      <formula1>"0,1"</formula1>
    </dataValidation>
    <dataValidation type="custom" allowBlank="1" showInputMessage="1" showErrorMessage="1" sqref="F57">
      <formula1>AND(MOD(F57,4)=0,F57&gt;=512,F57&lt;=16384)</formula1>
    </dataValidation>
    <dataValidation type="whole" operator="between" allowBlank="1" showInputMessage="1" showErrorMessage="1" errorTitle="设置值超出范围" error="包间隔设置值超出范围" sqref="F58">
      <formula1>0</formula1>
      <formula2>L59</formula2>
    </dataValidation>
    <dataValidation type="whole" operator="between" allowBlank="1" showInputMessage="1" showErrorMessage="1" errorTitle="设置值超出范围" error="预留带宽设置值超出范围" sqref="F59">
      <formula1>0</formula1>
      <formula2>L61</formula2>
    </dataValidation>
    <dataValidation type="list" allowBlank="1" showInputMessage="1" showErrorMessage="1" errorTitle="超出范围" error="0:关闭&#10;1:打开" sqref="F61">
      <formula1>"0,1"</formula1>
    </dataValidation>
    <dataValidation type="decimal" operator="between" allowBlank="1" showInputMessage="1" showErrorMessage="1" sqref="F62">
      <formula1>0.1</formula1>
      <formula2>10000</formula2>
    </dataValidation>
    <dataValidation type="whole" operator="lessThanOrEqual" allowBlank="1" showErrorMessage="1" error="设置水平Binning/Skipping时，需要同步修改水平ROI" sqref="F64" errorStyle="information">
      <formula1>1</formula1>
    </dataValidation>
    <dataValidation type="custom" allowBlank="1" showInputMessage="1" showErrorMessage="1" error="输入参数值为1或者2" sqref="C6:C7">
      <formula1>OR((C6=1),(C6=2))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123"/>
  <sheetViews>
    <sheetView tabSelected="1" zoomScale="130" zoomScaleNormal="130" workbookViewId="0">
      <selection activeCell="B13" sqref="B13"/>
    </sheetView>
  </sheetViews>
  <sheetFormatPr defaultColWidth="9" defaultRowHeight="13.5"/>
  <cols>
    <col min="1" max="1" width="40.875" customWidth="1"/>
    <col min="2" max="2" width="36.25" customWidth="1"/>
    <col min="4" max="4" width="9" customWidth="1"/>
    <col min="5" max="5" width="9" hidden="1" customWidth="1"/>
    <col min="6" max="6" width="12.75" hidden="1" customWidth="1"/>
    <col min="7" max="7" width="39.25" hidden="1" customWidth="1"/>
    <col min="8" max="8" width="23.125" hidden="1" customWidth="1"/>
    <col min="9" max="13" width="9" hidden="1" customWidth="1"/>
    <col min="14" max="14" width="23.5" hidden="1" customWidth="1"/>
    <col min="15" max="15" width="15.4333333333333" hidden="1" customWidth="1"/>
    <col min="16" max="19" width="9" hidden="1" customWidth="1"/>
    <col min="20" max="20" width="61.325" hidden="1" customWidth="1"/>
    <col min="21" max="21" width="18.3833333333333" hidden="1" customWidth="1"/>
    <col min="22" max="47" width="9" hidden="1" customWidth="1"/>
    <col min="48" max="50" width="9" customWidth="1"/>
  </cols>
  <sheetData>
    <row r="1" customFormat="1" spans="1:2">
      <c r="A1" s="3"/>
      <c r="B1" s="4"/>
    </row>
    <row r="2" customFormat="1" spans="1:2">
      <c r="A2" s="5" t="s">
        <v>313</v>
      </c>
      <c r="B2" s="6">
        <f>H49</f>
        <v>1280</v>
      </c>
    </row>
    <row r="3" customFormat="1" spans="1:2">
      <c r="A3" s="5" t="s">
        <v>315</v>
      </c>
      <c r="B3" s="6">
        <f>H50</f>
        <v>1024</v>
      </c>
    </row>
    <row r="4" customFormat="1" spans="1:3">
      <c r="A4" s="3" t="s">
        <v>29</v>
      </c>
      <c r="B4" s="7">
        <v>1280</v>
      </c>
      <c r="C4" s="8" t="str">
        <f>IF(OR(B4&gt;B2,B4&lt;2),G17,"")</f>
        <v/>
      </c>
    </row>
    <row r="5" customFormat="1" spans="1:3">
      <c r="A5" s="3" t="s">
        <v>30</v>
      </c>
      <c r="B5" s="7">
        <v>1024</v>
      </c>
      <c r="C5" s="8" t="str">
        <f>IF(OR(B5&gt;B3,B5&lt;2),G18,"")</f>
        <v/>
      </c>
    </row>
    <row r="6" customFormat="1" spans="1:3">
      <c r="A6" s="5" t="s">
        <v>321</v>
      </c>
      <c r="B6" s="9">
        <v>1</v>
      </c>
      <c r="C6" s="8" t="str">
        <f>IF(AND(B6=2,B8=2),"Bining Horizontal and Decimation Horizontal cannot be set together"," ")</f>
        <v> </v>
      </c>
    </row>
    <row r="7" customFormat="1" spans="1:3">
      <c r="A7" s="5" t="s">
        <v>323</v>
      </c>
      <c r="B7" s="9">
        <v>1</v>
      </c>
      <c r="C7" s="8" t="str">
        <f>IF(AND(B7=2,B9=2),"Bining Vertical and Decimation Vertical cannot be set together"," ")</f>
        <v> </v>
      </c>
    </row>
    <row r="8" customFormat="1" spans="1:4">
      <c r="A8" s="5" t="s">
        <v>526</v>
      </c>
      <c r="B8" s="9">
        <v>1</v>
      </c>
      <c r="C8" s="8" t="str">
        <f>IF(AND(B6=2,B8=2),"Bining Horizontal and Decimation Horizontal cannot be set together"," ")</f>
        <v> </v>
      </c>
      <c r="D8" s="10"/>
    </row>
    <row r="9" customFormat="1" spans="1:3">
      <c r="A9" s="5" t="s">
        <v>527</v>
      </c>
      <c r="B9" s="9">
        <v>1</v>
      </c>
      <c r="C9" s="11" t="str">
        <f>IF(AND(B7=2,B9=2),"Bining Vertical and Decimation Vertical cannot be set together"," ")</f>
        <v> </v>
      </c>
    </row>
    <row r="10" customFormat="1" spans="1:2">
      <c r="A10" s="3" t="s">
        <v>31</v>
      </c>
      <c r="B10" s="12">
        <v>10000</v>
      </c>
    </row>
    <row r="11" customFormat="1" spans="1:2">
      <c r="A11" s="5" t="s">
        <v>324</v>
      </c>
      <c r="B11" s="9">
        <v>0</v>
      </c>
    </row>
    <row r="12" customFormat="1" ht="27" spans="1:2">
      <c r="A12" s="3" t="s">
        <v>528</v>
      </c>
      <c r="B12" s="7">
        <v>8</v>
      </c>
    </row>
    <row r="13" customFormat="1" spans="1:3">
      <c r="A13" s="3" t="s">
        <v>529</v>
      </c>
      <c r="B13" s="7">
        <v>12</v>
      </c>
      <c r="C13" s="8" t="str">
        <f>IF(B12=8,IF(AND(B13&lt;&gt;8,B13&lt;&gt;12),"Only Set BPP8, BPP12",""),IF(OR(B12=10,B12="10p"),IF(B13&lt;&gt;10,"Only Set BPP10",""),IF(OR(B12=12,B12="12p"),IF(B13&lt;&gt;12,"Only Set BPP12",""),"")))</f>
        <v/>
      </c>
    </row>
    <row r="14" customFormat="1" spans="1:2">
      <c r="A14" s="3" t="s">
        <v>33</v>
      </c>
      <c r="B14" s="7">
        <v>1500</v>
      </c>
    </row>
    <row r="15" customFormat="1" spans="1:2">
      <c r="A15" s="3" t="s">
        <v>34</v>
      </c>
      <c r="B15" s="7">
        <v>0</v>
      </c>
    </row>
    <row r="16" customFormat="1" spans="1:7">
      <c r="A16" s="3" t="s">
        <v>35</v>
      </c>
      <c r="B16" s="13">
        <f>O50</f>
        <v>180000</v>
      </c>
      <c r="G16" s="14" t="s">
        <v>365</v>
      </c>
    </row>
    <row r="17" customFormat="1" spans="1:7">
      <c r="A17" s="3" t="s">
        <v>36</v>
      </c>
      <c r="B17" s="7">
        <v>94.5</v>
      </c>
      <c r="G17" t="s">
        <v>530</v>
      </c>
    </row>
    <row r="18" customFormat="1" spans="1:7">
      <c r="A18" s="3" t="s">
        <v>37</v>
      </c>
      <c r="B18" s="7">
        <v>0</v>
      </c>
      <c r="G18" t="s">
        <v>531</v>
      </c>
    </row>
    <row r="19" customFormat="1" spans="1:7">
      <c r="A19" s="3" t="s">
        <v>38</v>
      </c>
      <c r="B19" s="7">
        <v>1000</v>
      </c>
      <c r="G19" t="s">
        <v>362</v>
      </c>
    </row>
    <row r="20" customFormat="1" spans="1:7">
      <c r="A20" s="3" t="s">
        <v>39</v>
      </c>
      <c r="B20" s="7">
        <v>10</v>
      </c>
      <c r="G20" s="14"/>
    </row>
    <row r="21" customFormat="1" spans="1:7">
      <c r="A21" s="3" t="s">
        <v>40</v>
      </c>
      <c r="B21" s="13">
        <f>O52</f>
        <v>99</v>
      </c>
      <c r="G21" s="14"/>
    </row>
    <row r="22" customFormat="1" spans="1:7">
      <c r="A22" s="3" t="s">
        <v>532</v>
      </c>
      <c r="B22" s="7">
        <v>0</v>
      </c>
      <c r="G22" s="14">
        <f>IF(OR(OR(B4&gt;B2,B4&lt;4),OR(B5&gt;B3,B5&lt;2)),1,0)</f>
        <v>0</v>
      </c>
    </row>
    <row r="23" customFormat="1" spans="1:2">
      <c r="A23" s="3" t="s">
        <v>533</v>
      </c>
      <c r="B23" s="7" t="s">
        <v>534</v>
      </c>
    </row>
    <row r="24" customFormat="1" ht="14.25" spans="1:2">
      <c r="A24" s="15"/>
      <c r="B24" s="13"/>
    </row>
    <row r="25" customFormat="1" ht="15" spans="1:45">
      <c r="A25" s="15" t="s">
        <v>41</v>
      </c>
      <c r="B25" s="16">
        <f>O32</f>
        <v>72.0357297219421</v>
      </c>
      <c r="C25" s="8" t="str">
        <f>IF(G22,G19,"")</f>
        <v/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customFormat="1" ht="27.75" spans="6:45">
      <c r="F26" s="17" t="s">
        <v>535</v>
      </c>
      <c r="G26" s="17" t="s">
        <v>536</v>
      </c>
      <c r="H26" s="18" t="s">
        <v>537</v>
      </c>
      <c r="I26" s="40"/>
      <c r="J26" s="40"/>
      <c r="K26" s="1" t="s">
        <v>538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40"/>
      <c r="Y26" s="40"/>
      <c r="Z26" s="40"/>
      <c r="AA26" s="40"/>
      <c r="AB26" s="40"/>
      <c r="AC26" s="40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customFormat="1" ht="27.75" spans="6:45">
      <c r="F27" s="19" t="s">
        <v>43</v>
      </c>
      <c r="G27" s="20" t="s">
        <v>42</v>
      </c>
      <c r="H27" s="21" t="s">
        <v>539</v>
      </c>
      <c r="I27" s="40"/>
      <c r="J27" s="40"/>
      <c r="K27" s="1"/>
      <c r="L27" s="41" t="s">
        <v>45</v>
      </c>
      <c r="M27" s="22"/>
      <c r="N27" s="22"/>
      <c r="O27" s="22"/>
      <c r="P27" s="42"/>
      <c r="Q27" s="1"/>
      <c r="R27" s="41" t="s">
        <v>46</v>
      </c>
      <c r="S27" s="22"/>
      <c r="T27" s="22"/>
      <c r="U27" s="22"/>
      <c r="V27" s="42"/>
      <c r="W27" s="1"/>
      <c r="X27" s="78" t="s">
        <v>371</v>
      </c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</row>
    <row r="28" customFormat="1" ht="54" spans="6:45">
      <c r="F28" s="22" t="s">
        <v>372</v>
      </c>
      <c r="G28" s="22"/>
      <c r="H28" s="22"/>
      <c r="I28" s="22"/>
      <c r="J28" s="42"/>
      <c r="K28" s="1"/>
      <c r="L28" s="43" t="s">
        <v>49</v>
      </c>
      <c r="M28" s="23" t="s">
        <v>50</v>
      </c>
      <c r="N28" s="44" t="s">
        <v>51</v>
      </c>
      <c r="O28" s="23" t="s">
        <v>52</v>
      </c>
      <c r="P28" s="45" t="s">
        <v>53</v>
      </c>
      <c r="Q28" s="1"/>
      <c r="R28" s="47" t="s">
        <v>540</v>
      </c>
      <c r="S28" s="24"/>
      <c r="T28" s="24"/>
      <c r="U28" s="24"/>
      <c r="V28" s="48"/>
      <c r="W28" s="1"/>
      <c r="X28" s="79" t="s">
        <v>374</v>
      </c>
      <c r="Y28" s="98" t="s">
        <v>375</v>
      </c>
      <c r="Z28" s="98" t="s">
        <v>541</v>
      </c>
      <c r="AA28" s="98" t="s">
        <v>542</v>
      </c>
      <c r="AB28" s="98" t="s">
        <v>378</v>
      </c>
      <c r="AC28" s="98" t="s">
        <v>379</v>
      </c>
      <c r="AD28" s="98" t="s">
        <v>380</v>
      </c>
      <c r="AE28" s="98" t="s">
        <v>381</v>
      </c>
      <c r="AF28" s="98" t="s">
        <v>382</v>
      </c>
      <c r="AG28" s="98" t="s">
        <v>383</v>
      </c>
      <c r="AH28" s="98" t="s">
        <v>384</v>
      </c>
      <c r="AI28" s="98" t="s">
        <v>385</v>
      </c>
      <c r="AJ28" s="109" t="s">
        <v>543</v>
      </c>
      <c r="AK28" s="98" t="s">
        <v>544</v>
      </c>
      <c r="AL28" s="98" t="s">
        <v>545</v>
      </c>
      <c r="AM28" s="98" t="s">
        <v>546</v>
      </c>
      <c r="AN28" s="98" t="s">
        <v>547</v>
      </c>
      <c r="AO28" s="98" t="s">
        <v>548</v>
      </c>
      <c r="AP28" s="98" t="s">
        <v>549</v>
      </c>
      <c r="AQ28" s="111" t="s">
        <v>550</v>
      </c>
      <c r="AR28" s="111" t="s">
        <v>551</v>
      </c>
      <c r="AS28" s="112" t="s">
        <v>552</v>
      </c>
    </row>
    <row r="29" customFormat="1" ht="54.75" spans="6:45">
      <c r="F29" s="23" t="s">
        <v>49</v>
      </c>
      <c r="G29" s="23" t="s">
        <v>553</v>
      </c>
      <c r="H29" s="23" t="s">
        <v>59</v>
      </c>
      <c r="I29" s="23" t="s">
        <v>60</v>
      </c>
      <c r="J29" s="46" t="s">
        <v>53</v>
      </c>
      <c r="K29" s="1"/>
      <c r="L29" s="47" t="s">
        <v>61</v>
      </c>
      <c r="M29" s="24"/>
      <c r="N29" s="24"/>
      <c r="O29" s="24"/>
      <c r="P29" s="48"/>
      <c r="Q29" s="1"/>
      <c r="R29" s="43" t="s">
        <v>49</v>
      </c>
      <c r="S29" s="23" t="s">
        <v>50</v>
      </c>
      <c r="T29" s="23" t="s">
        <v>51</v>
      </c>
      <c r="U29" s="23" t="s">
        <v>62</v>
      </c>
      <c r="V29" s="80" t="s">
        <v>53</v>
      </c>
      <c r="W29" s="1"/>
      <c r="X29" s="81" t="s">
        <v>539</v>
      </c>
      <c r="Y29" s="99" t="s">
        <v>554</v>
      </c>
      <c r="Z29" s="99" t="s">
        <v>555</v>
      </c>
      <c r="AA29" s="100" t="str">
        <f>IF(OR(H26="A7",H26="A7-100T"),"37647","不确定")</f>
        <v>37647</v>
      </c>
      <c r="AB29" s="99">
        <v>1</v>
      </c>
      <c r="AC29" s="99">
        <v>4</v>
      </c>
      <c r="AD29" s="99">
        <f>8/I67</f>
        <v>8</v>
      </c>
      <c r="AE29" s="99">
        <f>4</f>
        <v>4</v>
      </c>
      <c r="AF29" s="99">
        <f>1280/I67/I64</f>
        <v>1280</v>
      </c>
      <c r="AG29" s="99">
        <v>8</v>
      </c>
      <c r="AH29" s="99">
        <f>1392/I67</f>
        <v>1392</v>
      </c>
      <c r="AI29" s="99">
        <f>1024/I68/I65</f>
        <v>1024</v>
      </c>
      <c r="AJ29" s="110" t="str">
        <f>IF(OR(H26="A7",H26="A7-100T"),IF(I32=12,"493",IF(I32=10,"282","262")),"不确定")</f>
        <v>493</v>
      </c>
      <c r="AK29" s="99">
        <v>36</v>
      </c>
      <c r="AL29" s="99">
        <v>17</v>
      </c>
      <c r="AM29" s="68">
        <v>7372</v>
      </c>
      <c r="AN29" s="99">
        <v>10</v>
      </c>
      <c r="AO29" s="99">
        <v>10000</v>
      </c>
      <c r="AP29" s="99">
        <v>49</v>
      </c>
      <c r="AQ29" s="113" t="s">
        <v>556</v>
      </c>
      <c r="AR29" s="113">
        <v>4</v>
      </c>
      <c r="AS29" s="114">
        <v>80000</v>
      </c>
    </row>
    <row r="30" customFormat="1" ht="135" spans="6:45">
      <c r="F30" s="24" t="s">
        <v>66</v>
      </c>
      <c r="G30" s="24"/>
      <c r="H30" s="24"/>
      <c r="I30" s="24"/>
      <c r="J30" s="48"/>
      <c r="K30" s="1"/>
      <c r="L30" s="30" t="s">
        <v>67</v>
      </c>
      <c r="M30" s="25" t="s">
        <v>68</v>
      </c>
      <c r="N30" s="49" t="s">
        <v>69</v>
      </c>
      <c r="O30" s="50">
        <f>ROUNDUP(1000000*U33/U30,0)</f>
        <v>13096</v>
      </c>
      <c r="P30" s="51" t="s">
        <v>70</v>
      </c>
      <c r="Q30" s="1"/>
      <c r="R30" s="82" t="s">
        <v>557</v>
      </c>
      <c r="S30" s="74" t="s">
        <v>71</v>
      </c>
      <c r="T30" s="74" t="s">
        <v>558</v>
      </c>
      <c r="U30" s="75" t="str">
        <f>VLOOKUP($H$27,$X$29:$AQ$45,4,FALSE)</f>
        <v>37647</v>
      </c>
      <c r="V30" s="83" t="s">
        <v>73</v>
      </c>
      <c r="W30" s="1"/>
      <c r="X30" s="84"/>
      <c r="Y30" s="143"/>
      <c r="Z30" s="144"/>
      <c r="AA30" s="145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 t="s">
        <v>559</v>
      </c>
      <c r="AQ30" s="144"/>
      <c r="AR30" s="144"/>
      <c r="AS30" s="144"/>
    </row>
    <row r="31" customFormat="1" ht="216" spans="6:45">
      <c r="F31" s="25" t="str">
        <f>VLOOKUP($H$27,$X$29:$AQ$45,20,FALSE)</f>
        <v>像素格式(8/10/12)</v>
      </c>
      <c r="G31" s="25" t="s">
        <v>77</v>
      </c>
      <c r="H31" s="25">
        <v>8</v>
      </c>
      <c r="I31" s="52">
        <f>B12</f>
        <v>8</v>
      </c>
      <c r="J31" s="53" t="s">
        <v>85</v>
      </c>
      <c r="K31" s="1"/>
      <c r="L31" s="30" t="s">
        <v>79</v>
      </c>
      <c r="M31" s="25" t="s">
        <v>80</v>
      </c>
      <c r="N31" s="49" t="s">
        <v>560</v>
      </c>
      <c r="O31" s="54">
        <f>IF(I37="Ultra Short",MAX(O34,O35,O36,O37),IF(I35="TriggerWidth",ROUNDUP(MAX(O34,O55,O36)*O30/1000,0),ROUNDUP(MAX(O34,O35,O36,O37)*O30/1000,0)))</f>
        <v>13882</v>
      </c>
      <c r="P31" s="51" t="s">
        <v>82</v>
      </c>
      <c r="Q31" s="1"/>
      <c r="R31" s="82" t="s">
        <v>99</v>
      </c>
      <c r="S31" s="74" t="s">
        <v>100</v>
      </c>
      <c r="T31" s="74" t="s">
        <v>561</v>
      </c>
      <c r="U31" s="75">
        <f>VLOOKUP($H$27,$X$29:$AQ$45,7,FALSE)</f>
        <v>8</v>
      </c>
      <c r="V31" s="83" t="s">
        <v>101</v>
      </c>
      <c r="W31" s="1"/>
      <c r="X31" s="84"/>
      <c r="Y31" s="84"/>
      <c r="Z31" s="84"/>
      <c r="AA31" s="102"/>
      <c r="AB31" s="84"/>
      <c r="AC31" s="84"/>
      <c r="AD31" s="84"/>
      <c r="AE31" s="84"/>
      <c r="AF31" s="84"/>
      <c r="AG31" s="84"/>
      <c r="AH31" s="84"/>
      <c r="AI31" s="84"/>
      <c r="AJ31" s="102"/>
      <c r="AK31" s="84"/>
      <c r="AL31" s="84"/>
      <c r="AM31" s="84"/>
      <c r="AN31" s="84"/>
      <c r="AO31" s="84"/>
      <c r="AP31" s="84"/>
      <c r="AQ31" s="84"/>
      <c r="AR31" s="84"/>
      <c r="AS31" s="84"/>
    </row>
    <row r="32" customFormat="1" ht="189" spans="6:45">
      <c r="F32" s="25" t="s">
        <v>562</v>
      </c>
      <c r="G32" s="25" t="s">
        <v>563</v>
      </c>
      <c r="H32" s="25">
        <v>12</v>
      </c>
      <c r="I32" s="52">
        <f>B13</f>
        <v>12</v>
      </c>
      <c r="J32" s="53" t="s">
        <v>85</v>
      </c>
      <c r="K32" s="1"/>
      <c r="L32" s="30" t="s">
        <v>88</v>
      </c>
      <c r="M32" s="25" t="s">
        <v>61</v>
      </c>
      <c r="N32" s="49" t="s">
        <v>564</v>
      </c>
      <c r="O32" s="54">
        <f>1000000/O31</f>
        <v>72.0357297219421</v>
      </c>
      <c r="P32" s="51" t="s">
        <v>90</v>
      </c>
      <c r="Q32" s="1"/>
      <c r="R32" s="82" t="s">
        <v>110</v>
      </c>
      <c r="S32" s="74" t="s">
        <v>565</v>
      </c>
      <c r="T32" s="74" t="s">
        <v>561</v>
      </c>
      <c r="U32" s="75">
        <f>VLOOKUP($H$27,$X$29:$AQ$45,8,FALSE)</f>
        <v>4</v>
      </c>
      <c r="V32" s="83" t="s">
        <v>101</v>
      </c>
      <c r="W32" s="1"/>
      <c r="X32" s="84"/>
      <c r="Y32" s="84"/>
      <c r="Z32" s="84"/>
      <c r="AA32" s="102"/>
      <c r="AB32" s="84"/>
      <c r="AC32" s="84"/>
      <c r="AD32" s="84"/>
      <c r="AE32" s="84"/>
      <c r="AF32" s="84"/>
      <c r="AG32" s="84"/>
      <c r="AH32" s="84"/>
      <c r="AI32" s="84"/>
      <c r="AJ32" s="102"/>
      <c r="AK32" s="84"/>
      <c r="AL32" s="84"/>
      <c r="AM32" s="84"/>
      <c r="AN32" s="84"/>
      <c r="AO32" s="84"/>
      <c r="AP32" s="84"/>
      <c r="AQ32" s="84"/>
      <c r="AR32" s="84"/>
      <c r="AS32" s="84"/>
    </row>
    <row r="33" customFormat="1" ht="121.5" spans="6:45">
      <c r="F33" s="24" t="s">
        <v>87</v>
      </c>
      <c r="G33" s="24"/>
      <c r="H33" s="24"/>
      <c r="I33" s="24"/>
      <c r="J33" s="48"/>
      <c r="K33" s="1"/>
      <c r="L33" s="47" t="s">
        <v>98</v>
      </c>
      <c r="M33" s="24"/>
      <c r="N33" s="24"/>
      <c r="O33" s="24"/>
      <c r="P33" s="48"/>
      <c r="Q33" s="1"/>
      <c r="R33" s="85" t="s">
        <v>118</v>
      </c>
      <c r="S33" s="86" t="s">
        <v>566</v>
      </c>
      <c r="T33" s="86" t="s">
        <v>561</v>
      </c>
      <c r="U33" s="87" t="str">
        <f>IF(I31=8,VLOOKUP($H$27,$X$29:$AQ$45,13,FALSE),IF(OR(I31="10p",I31="12p"),ROUNDUP(VLOOKUP($H$27,$X$29:$AQ$45,13,FALSE),0),VLOOKUP($H$27,$X$29:$AQ$45,13,FALSE)))</f>
        <v>493</v>
      </c>
      <c r="V33" s="83" t="s">
        <v>121</v>
      </c>
      <c r="W33" s="1"/>
      <c r="X33" s="84"/>
      <c r="Y33" s="84"/>
      <c r="Z33" s="84"/>
      <c r="AA33" s="102"/>
      <c r="AB33" s="84"/>
      <c r="AC33" s="84"/>
      <c r="AD33" s="84"/>
      <c r="AE33" s="84"/>
      <c r="AF33" s="84"/>
      <c r="AG33" s="84"/>
      <c r="AH33" s="84"/>
      <c r="AI33" s="84"/>
      <c r="AJ33" s="102"/>
      <c r="AK33" s="84"/>
      <c r="AL33" s="84"/>
      <c r="AM33" s="84"/>
      <c r="AN33" s="84"/>
      <c r="AO33" s="84"/>
      <c r="AP33" s="84"/>
      <c r="AQ33" s="84"/>
      <c r="AR33" s="84"/>
      <c r="AS33" s="84"/>
    </row>
    <row r="34" customFormat="1" ht="94.5" spans="6:45">
      <c r="F34" s="25" t="s">
        <v>567</v>
      </c>
      <c r="G34" s="25" t="s">
        <v>532</v>
      </c>
      <c r="H34" s="25" t="s">
        <v>568</v>
      </c>
      <c r="I34" s="52">
        <f>B22</f>
        <v>0</v>
      </c>
      <c r="J34" s="53" t="s">
        <v>85</v>
      </c>
      <c r="K34" s="1"/>
      <c r="L34" s="30" t="s">
        <v>106</v>
      </c>
      <c r="M34" s="25" t="s">
        <v>107</v>
      </c>
      <c r="N34" s="25" t="s">
        <v>569</v>
      </c>
      <c r="O34" s="55">
        <f>IF(I37="Ultra Short",ROUNDUP((I50*I65+U35+2)*O30/1000,0),IF(I34=1,I50*I65+U35+O35,I50*I65+U35))</f>
        <v>1060</v>
      </c>
      <c r="P34" s="56" t="str">
        <f>IF(I37="Ultra Short","us","line")</f>
        <v>line</v>
      </c>
      <c r="Q34" s="1"/>
      <c r="R34" s="88" t="s">
        <v>570</v>
      </c>
      <c r="S34" s="26" t="s">
        <v>571</v>
      </c>
      <c r="T34" s="26" t="s">
        <v>572</v>
      </c>
      <c r="U34" s="55">
        <f>ROUNDUP((U33/U30*50*1000),0)</f>
        <v>655</v>
      </c>
      <c r="V34" s="89" t="s">
        <v>121</v>
      </c>
      <c r="W34" s="1"/>
      <c r="X34" s="84"/>
      <c r="Y34" s="84"/>
      <c r="Z34" s="84"/>
      <c r="AA34" s="102"/>
      <c r="AB34" s="84"/>
      <c r="AC34" s="84"/>
      <c r="AD34" s="84"/>
      <c r="AE34" s="84"/>
      <c r="AF34" s="84"/>
      <c r="AG34" s="84"/>
      <c r="AH34" s="84"/>
      <c r="AI34" s="84"/>
      <c r="AJ34" s="102"/>
      <c r="AK34" s="84"/>
      <c r="AL34" s="84"/>
      <c r="AM34" s="84"/>
      <c r="AN34" s="84"/>
      <c r="AO34" s="84"/>
      <c r="AP34" s="84"/>
      <c r="AQ34" s="84"/>
      <c r="AR34" s="84"/>
      <c r="AS34" s="84"/>
    </row>
    <row r="35" customFormat="1" ht="189" spans="6:45">
      <c r="F35" s="25" t="s">
        <v>573</v>
      </c>
      <c r="G35" s="25" t="s">
        <v>574</v>
      </c>
      <c r="H35" s="25" t="s">
        <v>575</v>
      </c>
      <c r="I35" s="52" t="s">
        <v>575</v>
      </c>
      <c r="J35" s="53" t="s">
        <v>85</v>
      </c>
      <c r="K35" s="1"/>
      <c r="L35" s="30" t="s">
        <v>115</v>
      </c>
      <c r="M35" s="25" t="s">
        <v>116</v>
      </c>
      <c r="N35" s="25" t="s">
        <v>576</v>
      </c>
      <c r="O35" s="54">
        <f>IF(I37="Ultra Short",O39+O40+O43+20,O39+IF(I54=1,0,O40)+U36)</f>
        <v>781</v>
      </c>
      <c r="P35" s="56" t="str">
        <f>IF(I37="Ultra Short","us","line")</f>
        <v>line</v>
      </c>
      <c r="Q35" s="1"/>
      <c r="R35" s="82" t="s">
        <v>135</v>
      </c>
      <c r="S35" s="74" t="s">
        <v>577</v>
      </c>
      <c r="T35" s="74" t="s">
        <v>561</v>
      </c>
      <c r="U35" s="75">
        <f>VLOOKUP($H$27,$X$29:$AQ$45,14,FALSE)</f>
        <v>36</v>
      </c>
      <c r="V35" s="83" t="s">
        <v>109</v>
      </c>
      <c r="W35" s="1"/>
      <c r="X35" s="40"/>
      <c r="Y35" s="40"/>
      <c r="Z35" s="40"/>
      <c r="AA35" s="40"/>
      <c r="AB35" s="40"/>
      <c r="AC35" s="40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customFormat="1" ht="256.5" spans="6:45">
      <c r="F36" s="25" t="str">
        <f>"交叠曝光时间
(0-"&amp;INT((O34-U36)*O30/1000)&amp;")"</f>
        <v>交叠曝光时间
(0-13659)</v>
      </c>
      <c r="G36" s="26" t="s">
        <v>578</v>
      </c>
      <c r="H36" s="25">
        <f>INT((VLOOKUP($H$27,$X$29:$AT$46,12,FALSE)+VLOOKUP($H$27,$X$29:$AT$46,14,FALSE)-U36)*ROUNDUP(1000000*VLOOKUP($H$27,$X$29:$AT$46,13,FALSE)/U30,0)/1000)</f>
        <v>13659</v>
      </c>
      <c r="I36" s="52">
        <v>2000</v>
      </c>
      <c r="J36" s="53" t="s">
        <v>82</v>
      </c>
      <c r="K36" s="1"/>
      <c r="L36" s="30" t="s">
        <v>132</v>
      </c>
      <c r="M36" s="25" t="s">
        <v>133</v>
      </c>
      <c r="N36" s="25" t="s">
        <v>579</v>
      </c>
      <c r="O36" s="54">
        <f>IF(I37="Ultra Short",ROUNDUP((1000000/I62)*I61,0),ROUNDUP(((1000000000/I62)/O30)*I61,0))</f>
        <v>0</v>
      </c>
      <c r="P36" s="56" t="str">
        <f>IF(I37="Ultra Short","us","line")</f>
        <v>line</v>
      </c>
      <c r="Q36" s="1"/>
      <c r="R36" s="82" t="s">
        <v>146</v>
      </c>
      <c r="S36" s="74" t="s">
        <v>580</v>
      </c>
      <c r="T36" s="74" t="s">
        <v>561</v>
      </c>
      <c r="U36" s="75">
        <f>VLOOKUP($H$27,$X$29:$AQ$45,15,FALSE)</f>
        <v>17</v>
      </c>
      <c r="V36" s="83" t="s">
        <v>109</v>
      </c>
      <c r="W36" s="1"/>
      <c r="X36" s="40"/>
      <c r="Y36" s="40"/>
      <c r="Z36" s="40"/>
      <c r="AA36" s="40"/>
      <c r="AB36" s="40"/>
      <c r="AC36" s="40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customFormat="1" ht="202.5" spans="6:45">
      <c r="F37" s="25" t="s">
        <v>581</v>
      </c>
      <c r="G37" s="25" t="s">
        <v>533</v>
      </c>
      <c r="H37" s="25" t="s">
        <v>534</v>
      </c>
      <c r="I37" s="52" t="str">
        <f>B23</f>
        <v>Standard</v>
      </c>
      <c r="J37" s="53" t="s">
        <v>85</v>
      </c>
      <c r="K37" s="1"/>
      <c r="L37" s="30" t="s">
        <v>143</v>
      </c>
      <c r="M37" s="25" t="s">
        <v>144</v>
      </c>
      <c r="N37" s="25" t="s">
        <v>582</v>
      </c>
      <c r="O37" s="54">
        <f>IF(I42=0,U74,IF(I43="Standard",U76,0))</f>
        <v>935</v>
      </c>
      <c r="P37" s="56" t="str">
        <f>IF(I37="Ultra Short","us","line")</f>
        <v>line</v>
      </c>
      <c r="Q37" s="1"/>
      <c r="R37" s="30" t="s">
        <v>155</v>
      </c>
      <c r="S37" s="25" t="s">
        <v>583</v>
      </c>
      <c r="T37" s="74" t="s">
        <v>561</v>
      </c>
      <c r="U37" s="75">
        <f>VLOOKUP($H$27,$X$29:$AS$45,16,FALSE)</f>
        <v>7372</v>
      </c>
      <c r="V37" s="51" t="s">
        <v>70</v>
      </c>
      <c r="W37" s="1"/>
      <c r="X37" s="40"/>
      <c r="Y37" s="40"/>
      <c r="Z37" s="40"/>
      <c r="AA37" s="40"/>
      <c r="AB37" s="40"/>
      <c r="AC37" s="40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customFormat="1" ht="40.5" spans="6:45">
      <c r="F38" s="25" t="s">
        <v>87</v>
      </c>
      <c r="G38" s="25" t="s">
        <v>96</v>
      </c>
      <c r="H38" s="25">
        <f>VLOOKUP($H$27,$X$29:$AQ$45,18,FALSE)</f>
        <v>10000</v>
      </c>
      <c r="I38" s="40">
        <f>B10</f>
        <v>10000</v>
      </c>
      <c r="J38" s="53" t="s">
        <v>82</v>
      </c>
      <c r="K38" s="1"/>
      <c r="L38" s="47" t="s">
        <v>434</v>
      </c>
      <c r="M38" s="24"/>
      <c r="N38" s="24"/>
      <c r="O38" s="24"/>
      <c r="P38" s="48"/>
      <c r="Q38" s="1"/>
      <c r="R38" s="30" t="s">
        <v>584</v>
      </c>
      <c r="S38" s="25" t="s">
        <v>585</v>
      </c>
      <c r="T38" s="74" t="s">
        <v>561</v>
      </c>
      <c r="U38" s="75">
        <f>VLOOKUP($H$27,$X$29:$AQ$45,5,FALSE)</f>
        <v>1</v>
      </c>
      <c r="V38" s="51"/>
      <c r="W38" s="1"/>
      <c r="X38" s="40"/>
      <c r="Y38" s="40"/>
      <c r="Z38" s="40"/>
      <c r="AA38" s="40"/>
      <c r="AB38" s="40"/>
      <c r="AC38" s="40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customFormat="1" ht="121.5" spans="6:45">
      <c r="F39" s="25" t="s">
        <v>104</v>
      </c>
      <c r="G39" s="25" t="s">
        <v>103</v>
      </c>
      <c r="H39" s="25">
        <v>0</v>
      </c>
      <c r="I39" s="52">
        <f>B11</f>
        <v>0</v>
      </c>
      <c r="J39" s="53" t="s">
        <v>82</v>
      </c>
      <c r="K39" s="1"/>
      <c r="L39" s="30" t="s">
        <v>586</v>
      </c>
      <c r="M39" s="25" t="s">
        <v>587</v>
      </c>
      <c r="N39" s="26" t="s">
        <v>588</v>
      </c>
      <c r="O39" s="55">
        <f>IF(I37="Ultra Short",IF(I38&gt;8,ROUNDUP((1000*I38-U37)/1000,0),1),MAX(ROUNDUP(((1000*I38-U37)/O30),0),1))</f>
        <v>764</v>
      </c>
      <c r="P39" s="56" t="str">
        <f>IF(I37="Ultra Short","us","line")</f>
        <v>line</v>
      </c>
      <c r="Q39" s="1"/>
      <c r="R39" s="30" t="s">
        <v>589</v>
      </c>
      <c r="S39" s="25" t="s">
        <v>590</v>
      </c>
      <c r="T39" s="74" t="s">
        <v>561</v>
      </c>
      <c r="U39" s="75">
        <f>VLOOKUP($H$27,$X$29:$AQ$45,6,FALSE)</f>
        <v>4</v>
      </c>
      <c r="V39" s="5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customFormat="1" ht="94.5" spans="6:45">
      <c r="F40" s="27" t="s">
        <v>591</v>
      </c>
      <c r="G40" s="26" t="s">
        <v>592</v>
      </c>
      <c r="H40" s="25" t="s">
        <v>85</v>
      </c>
      <c r="I40" s="52">
        <v>10000</v>
      </c>
      <c r="J40" s="25" t="s">
        <v>82</v>
      </c>
      <c r="K40" s="1"/>
      <c r="L40" s="30" t="s">
        <v>593</v>
      </c>
      <c r="M40" s="25" t="s">
        <v>441</v>
      </c>
      <c r="N40" s="25" t="s">
        <v>594</v>
      </c>
      <c r="O40" s="54">
        <f>IF(I37="Ultra Short",I39,ROUNDUP(((1000*I39)/O30),0))</f>
        <v>0</v>
      </c>
      <c r="P40" s="56" t="str">
        <f>IF(I37="Ultra Short","us","line")</f>
        <v>line</v>
      </c>
      <c r="Q40" s="1"/>
      <c r="R40" s="30" t="s">
        <v>595</v>
      </c>
      <c r="S40" s="25" t="s">
        <v>596</v>
      </c>
      <c r="T40" s="74" t="s">
        <v>561</v>
      </c>
      <c r="U40" s="75">
        <f>VLOOKUP($H$27,$X$29:$AQ$45,11,FALSE)</f>
        <v>1392</v>
      </c>
      <c r="V40" s="5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customFormat="1" ht="40.5" spans="6:45">
      <c r="F41" s="28" t="s">
        <v>597</v>
      </c>
      <c r="G41" s="29"/>
      <c r="H41" s="29"/>
      <c r="I41" s="29"/>
      <c r="J41" s="57"/>
      <c r="K41" s="1"/>
      <c r="L41" s="30" t="s">
        <v>168</v>
      </c>
      <c r="M41" s="25" t="s">
        <v>169</v>
      </c>
      <c r="N41" s="25">
        <v>0</v>
      </c>
      <c r="O41" s="54">
        <v>0</v>
      </c>
      <c r="P41" s="51" t="s">
        <v>82</v>
      </c>
      <c r="Q41" s="1"/>
      <c r="R41" s="30" t="s">
        <v>598</v>
      </c>
      <c r="S41" s="25" t="s">
        <v>599</v>
      </c>
      <c r="T41" s="74" t="s">
        <v>561</v>
      </c>
      <c r="U41" s="75">
        <f>VLOOKUP($H$27,$X$29:$AS$45,21,FALSE)</f>
        <v>4</v>
      </c>
      <c r="V41" s="5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customFormat="1" ht="189" spans="6:45">
      <c r="F42" s="30" t="s">
        <v>597</v>
      </c>
      <c r="G42" s="25" t="s">
        <v>600</v>
      </c>
      <c r="H42" s="25">
        <v>0</v>
      </c>
      <c r="I42" s="52">
        <v>0</v>
      </c>
      <c r="J42" s="58" t="s">
        <v>85</v>
      </c>
      <c r="K42" s="1"/>
      <c r="L42" s="30" t="s">
        <v>172</v>
      </c>
      <c r="M42" s="25" t="s">
        <v>601</v>
      </c>
      <c r="N42" s="25" t="s">
        <v>602</v>
      </c>
      <c r="O42" s="54">
        <f>IF(I37="Ultra Short",IF((I38+4)&gt;100,(I38+4),100),IF((I38+4*O30/1000)&gt;100,(I38+4*O30/1000),100))</f>
        <v>10052.384</v>
      </c>
      <c r="P42" s="51" t="s">
        <v>82</v>
      </c>
      <c r="Q42" s="1"/>
      <c r="R42" s="30" t="s">
        <v>603</v>
      </c>
      <c r="S42" s="25" t="s">
        <v>604</v>
      </c>
      <c r="T42" s="74" t="s">
        <v>561</v>
      </c>
      <c r="U42" s="75">
        <f>VLOOKUP($H$27,$X$29:$AS$45,22,FALSE)</f>
        <v>80000</v>
      </c>
      <c r="V42" s="51" t="s">
        <v>73</v>
      </c>
      <c r="W42" s="1"/>
      <c r="X42" s="1"/>
      <c r="Y42" s="1"/>
      <c r="Z42" s="1"/>
      <c r="AA42" s="104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customFormat="1" ht="216" spans="6:45">
      <c r="F43" s="31" t="s">
        <v>605</v>
      </c>
      <c r="G43" s="25" t="s">
        <v>606</v>
      </c>
      <c r="H43" s="25" t="s">
        <v>534</v>
      </c>
      <c r="I43" s="52" t="s">
        <v>534</v>
      </c>
      <c r="J43" s="53" t="s">
        <v>85</v>
      </c>
      <c r="K43" s="1"/>
      <c r="L43" s="30" t="s">
        <v>200</v>
      </c>
      <c r="M43" s="25" t="s">
        <v>201</v>
      </c>
      <c r="N43" s="25" t="s">
        <v>607</v>
      </c>
      <c r="O43" s="59">
        <f>IF(I37="Ultra Short",ROUNDUP((VLOOKUP($H$27,$X$29:$AQ$45,17,FALSE)+11+I50*I65)*O30/1000,0),VLOOKUP($H$27,$X$29:$AQ$45,17,FALSE)+11+I50*I65)</f>
        <v>1045</v>
      </c>
      <c r="P43" s="56" t="str">
        <f>IF(I37="Ultra Short","us","line")</f>
        <v>line</v>
      </c>
      <c r="Q43" s="1"/>
      <c r="R43" s="62" t="s">
        <v>608</v>
      </c>
      <c r="S43" s="63"/>
      <c r="T43" s="63"/>
      <c r="U43" s="63"/>
      <c r="V43" s="64"/>
      <c r="W43" s="1"/>
      <c r="X43" s="1"/>
      <c r="Y43" s="1"/>
      <c r="Z43" s="1"/>
      <c r="AA43" s="104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customFormat="1" spans="6:45">
      <c r="F44" s="24" t="s">
        <v>105</v>
      </c>
      <c r="G44" s="24"/>
      <c r="H44" s="24"/>
      <c r="I44" s="24"/>
      <c r="J44" s="48"/>
      <c r="K44" s="1"/>
      <c r="L44" s="47" t="s">
        <v>347</v>
      </c>
      <c r="M44" s="24"/>
      <c r="N44" s="24"/>
      <c r="O44" s="24"/>
      <c r="P44" s="48"/>
      <c r="Q44" s="1"/>
      <c r="R44" s="47" t="s">
        <v>439</v>
      </c>
      <c r="S44" s="24"/>
      <c r="T44" s="24"/>
      <c r="U44" s="24"/>
      <c r="V44" s="48"/>
      <c r="W44" s="1"/>
      <c r="X44" s="1"/>
      <c r="Y44" s="1"/>
      <c r="Z44" s="1"/>
      <c r="AA44" s="104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customFormat="1" ht="67.5" spans="6:45">
      <c r="F45" s="25" t="s">
        <v>426</v>
      </c>
      <c r="G45" s="25" t="s">
        <v>113</v>
      </c>
      <c r="H45" s="25">
        <v>0</v>
      </c>
      <c r="I45" s="52">
        <v>0</v>
      </c>
      <c r="J45" s="53" t="s">
        <v>82</v>
      </c>
      <c r="K45" s="1"/>
      <c r="L45" s="30" t="s">
        <v>450</v>
      </c>
      <c r="M45" s="25" t="s">
        <v>451</v>
      </c>
      <c r="N45" s="25" t="s">
        <v>452</v>
      </c>
      <c r="O45" s="59">
        <f>O32*U62</f>
        <v>94418671.6611439</v>
      </c>
      <c r="P45" s="51" t="s">
        <v>195</v>
      </c>
      <c r="Q45" s="1"/>
      <c r="R45" s="43" t="s">
        <v>49</v>
      </c>
      <c r="S45" s="23" t="s">
        <v>50</v>
      </c>
      <c r="T45" s="23" t="s">
        <v>51</v>
      </c>
      <c r="U45" s="23" t="s">
        <v>62</v>
      </c>
      <c r="V45" s="80" t="s">
        <v>53</v>
      </c>
      <c r="W45" s="1"/>
      <c r="X45" s="90"/>
      <c r="Y45" s="104"/>
      <c r="Z45" s="104"/>
      <c r="AA45" s="104"/>
      <c r="AB45" s="104"/>
      <c r="AC45" s="1"/>
      <c r="AD45" s="1"/>
      <c r="AE45" s="104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customFormat="1" ht="41.25" spans="6:45">
      <c r="F46" s="24" t="s">
        <v>131</v>
      </c>
      <c r="G46" s="24"/>
      <c r="H46" s="24"/>
      <c r="I46" s="24"/>
      <c r="J46" s="48"/>
      <c r="K46" s="1"/>
      <c r="L46" s="60" t="s">
        <v>455</v>
      </c>
      <c r="M46" s="61" t="s">
        <v>456</v>
      </c>
      <c r="N46" s="25" t="s">
        <v>457</v>
      </c>
      <c r="O46" s="54">
        <f>O32*U70</f>
        <v>98420400.5186573</v>
      </c>
      <c r="P46" s="51" t="s">
        <v>195</v>
      </c>
      <c r="Q46" s="1"/>
      <c r="R46" s="82" t="s">
        <v>222</v>
      </c>
      <c r="S46" s="74" t="s">
        <v>223</v>
      </c>
      <c r="T46" s="74" t="s">
        <v>224</v>
      </c>
      <c r="U46" s="75">
        <v>7</v>
      </c>
      <c r="V46" s="83" t="s">
        <v>182</v>
      </c>
      <c r="W46" s="1"/>
      <c r="X46" s="90"/>
      <c r="Y46" s="104"/>
      <c r="Z46" s="104"/>
      <c r="AA46" s="104"/>
      <c r="AB46" s="104"/>
      <c r="AC46" s="1"/>
      <c r="AD46" s="1"/>
      <c r="AE46" s="104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customFormat="1" ht="67.5" spans="6:45">
      <c r="F47" s="25" t="s">
        <v>142</v>
      </c>
      <c r="G47" s="25" t="s">
        <v>141</v>
      </c>
      <c r="H47" s="25">
        <v>0</v>
      </c>
      <c r="I47" s="52">
        <v>0</v>
      </c>
      <c r="J47" s="53" t="s">
        <v>101</v>
      </c>
      <c r="K47" s="1"/>
      <c r="L47" s="60" t="s">
        <v>459</v>
      </c>
      <c r="M47" s="61" t="s">
        <v>460</v>
      </c>
      <c r="N47" s="25" t="s">
        <v>461</v>
      </c>
      <c r="O47" s="54">
        <f>1250*I56*(100-I59)</f>
        <v>112500000</v>
      </c>
      <c r="P47" s="51" t="s">
        <v>195</v>
      </c>
      <c r="Q47" s="1"/>
      <c r="R47" s="82" t="s">
        <v>226</v>
      </c>
      <c r="S47" s="74" t="s">
        <v>227</v>
      </c>
      <c r="T47" s="74" t="s">
        <v>228</v>
      </c>
      <c r="U47" s="75">
        <v>1</v>
      </c>
      <c r="V47" s="83" t="s">
        <v>182</v>
      </c>
      <c r="W47" s="1"/>
      <c r="X47" s="41" t="s">
        <v>609</v>
      </c>
      <c r="Y47" s="22"/>
      <c r="Z47" s="22"/>
      <c r="AA47" s="22"/>
      <c r="AB47" s="22"/>
      <c r="AC47" s="42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customFormat="1" ht="27" spans="6:45">
      <c r="F48" s="25" t="s">
        <v>153</v>
      </c>
      <c r="G48" s="25" t="s">
        <v>152</v>
      </c>
      <c r="H48" s="25">
        <v>0</v>
      </c>
      <c r="I48" s="52">
        <v>0</v>
      </c>
      <c r="J48" s="53" t="s">
        <v>101</v>
      </c>
      <c r="K48" s="1"/>
      <c r="L48" s="62" t="s">
        <v>608</v>
      </c>
      <c r="M48" s="63"/>
      <c r="N48" s="63"/>
      <c r="O48" s="63"/>
      <c r="P48" s="64"/>
      <c r="Q48" s="1"/>
      <c r="R48" s="82" t="s">
        <v>229</v>
      </c>
      <c r="S48" s="74" t="s">
        <v>230</v>
      </c>
      <c r="T48" s="74" t="s">
        <v>231</v>
      </c>
      <c r="U48" s="75">
        <v>14</v>
      </c>
      <c r="V48" s="83" t="s">
        <v>182</v>
      </c>
      <c r="W48" s="1"/>
      <c r="X48" s="47" t="s">
        <v>112</v>
      </c>
      <c r="Y48" s="24"/>
      <c r="Z48" s="24"/>
      <c r="AA48" s="24"/>
      <c r="AB48" s="24"/>
      <c r="AC48" s="48"/>
      <c r="AD48" s="104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customFormat="1" ht="27" spans="6:45">
      <c r="F49" s="25" t="s">
        <v>159</v>
      </c>
      <c r="G49" s="25" t="s">
        <v>29</v>
      </c>
      <c r="H49" s="25">
        <f>VLOOKUP($H$27,$X$29:$AQ$45,9,FALSE)</f>
        <v>1280</v>
      </c>
      <c r="I49" s="52">
        <f>B4</f>
        <v>1280</v>
      </c>
      <c r="J49" s="53" t="s">
        <v>101</v>
      </c>
      <c r="K49" s="1"/>
      <c r="L49" s="47" t="s">
        <v>464</v>
      </c>
      <c r="M49" s="24"/>
      <c r="N49" s="24"/>
      <c r="O49" s="24"/>
      <c r="P49" s="48"/>
      <c r="Q49" s="1"/>
      <c r="R49" s="82" t="s">
        <v>234</v>
      </c>
      <c r="S49" s="74" t="s">
        <v>235</v>
      </c>
      <c r="T49" s="74" t="s">
        <v>236</v>
      </c>
      <c r="U49" s="75">
        <v>20</v>
      </c>
      <c r="V49" s="83" t="s">
        <v>182</v>
      </c>
      <c r="W49" s="1"/>
      <c r="X49" s="43" t="s">
        <v>55</v>
      </c>
      <c r="Y49" s="23" t="s">
        <v>50</v>
      </c>
      <c r="Z49" s="23" t="s">
        <v>57</v>
      </c>
      <c r="AA49" s="23" t="s">
        <v>51</v>
      </c>
      <c r="AB49" s="23" t="s">
        <v>58</v>
      </c>
      <c r="AC49" s="46" t="s">
        <v>610</v>
      </c>
      <c r="AD49" s="104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customFormat="1" ht="47" customHeight="1" spans="6:45">
      <c r="F50" s="25" t="s">
        <v>167</v>
      </c>
      <c r="G50" s="25" t="s">
        <v>30</v>
      </c>
      <c r="H50" s="25">
        <f>VLOOKUP($H$27,$X$29:$AQ$45,12,FALSE)</f>
        <v>1024</v>
      </c>
      <c r="I50" s="52">
        <f>B5</f>
        <v>1024</v>
      </c>
      <c r="J50" s="53" t="s">
        <v>101</v>
      </c>
      <c r="K50" s="1"/>
      <c r="L50" s="60" t="s">
        <v>469</v>
      </c>
      <c r="M50" s="65" t="s">
        <v>470</v>
      </c>
      <c r="N50" s="25" t="s">
        <v>611</v>
      </c>
      <c r="O50" s="54">
        <f>IF(ROUNDDOWN((U73-(U70+U68+U69))/(U64+U66+2),0)-12&lt;180000,ROUNDDOWN((U73-(U70+U68+U69))/(U64+U66+2)-12,0),180000)</f>
        <v>180000</v>
      </c>
      <c r="P50" s="51" t="s">
        <v>182</v>
      </c>
      <c r="Q50" s="1"/>
      <c r="R50" s="82" t="s">
        <v>237</v>
      </c>
      <c r="S50" s="74" t="s">
        <v>238</v>
      </c>
      <c r="T50" s="74" t="s">
        <v>239</v>
      </c>
      <c r="U50" s="75">
        <v>8</v>
      </c>
      <c r="V50" s="83" t="s">
        <v>182</v>
      </c>
      <c r="W50" s="1"/>
      <c r="X50" s="30" t="s">
        <v>122</v>
      </c>
      <c r="Y50" s="25" t="s">
        <v>123</v>
      </c>
      <c r="Z50" s="26" t="str">
        <f>IF(OR(H26="A7",H26="A7-100T"),"0x01000800",IF(H26="EFX","0xF8120800","0x77601650"))</f>
        <v>0x01000800</v>
      </c>
      <c r="AA50" s="25" t="s">
        <v>124</v>
      </c>
      <c r="AB50" s="54" t="str">
        <f>"0x"&amp;DEC2HEX(IF(OR(H26="A7",H26="A7-100T",H26="EFX"),IF(I37="Ultra Short",50,U34),IF(I37="Ultra Short",54,U33)))</f>
        <v>0x28F</v>
      </c>
      <c r="AC50" s="105" t="s">
        <v>612</v>
      </c>
      <c r="AD50" s="104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customFormat="1" ht="40.5" spans="6:45">
      <c r="F51" s="32" t="s">
        <v>171</v>
      </c>
      <c r="G51" s="29"/>
      <c r="H51" s="29"/>
      <c r="I51" s="29"/>
      <c r="J51" s="57"/>
      <c r="K51" s="1"/>
      <c r="L51" s="47" t="s">
        <v>475</v>
      </c>
      <c r="M51" s="24"/>
      <c r="N51" s="24"/>
      <c r="O51" s="24"/>
      <c r="P51" s="48"/>
      <c r="Q51" s="1"/>
      <c r="R51" s="82" t="s">
        <v>242</v>
      </c>
      <c r="S51" s="74" t="s">
        <v>243</v>
      </c>
      <c r="T51" s="74" t="s">
        <v>239</v>
      </c>
      <c r="U51" s="75">
        <v>8</v>
      </c>
      <c r="V51" s="83" t="s">
        <v>182</v>
      </c>
      <c r="W51" s="1"/>
      <c r="X51" s="30" t="s">
        <v>419</v>
      </c>
      <c r="Y51" s="25" t="s">
        <v>129</v>
      </c>
      <c r="Z51" s="26" t="str">
        <f>IF(OR(H26="A7",H26="A7-100T"),"0x01000804",IF(H26="EFX","0xF8120804","0x77601654"))</f>
        <v>0x01000804</v>
      </c>
      <c r="AA51" s="25" t="s">
        <v>130</v>
      </c>
      <c r="AB51" s="54" t="str">
        <f>"0x"&amp;DEC2HEX(O40)</f>
        <v>0x0</v>
      </c>
      <c r="AC51" s="105"/>
      <c r="AD51" s="104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customFormat="1" ht="41" customHeight="1" spans="6:45">
      <c r="F52" s="25" t="s">
        <v>448</v>
      </c>
      <c r="G52" s="25" t="s">
        <v>191</v>
      </c>
      <c r="H52" s="33">
        <v>0</v>
      </c>
      <c r="I52" s="52">
        <v>0</v>
      </c>
      <c r="J52" s="53" t="s">
        <v>85</v>
      </c>
      <c r="K52" s="1"/>
      <c r="L52" s="66" t="s">
        <v>480</v>
      </c>
      <c r="M52" s="67" t="s">
        <v>475</v>
      </c>
      <c r="N52" s="68" t="s">
        <v>481</v>
      </c>
      <c r="O52" s="69">
        <f>IF((100-ROUNDDOWN(10*U72/(125000*I56),0)-1)&lt;0,0,(100-ROUNDDOWN(10*U72/(125000*I56),0)-1))</f>
        <v>99</v>
      </c>
      <c r="P52" s="70" t="s">
        <v>468</v>
      </c>
      <c r="Q52" s="1"/>
      <c r="R52" s="82" t="s">
        <v>245</v>
      </c>
      <c r="S52" s="74" t="s">
        <v>246</v>
      </c>
      <c r="T52" s="74" t="s">
        <v>247</v>
      </c>
      <c r="U52" s="75">
        <v>4</v>
      </c>
      <c r="V52" s="83" t="s">
        <v>182</v>
      </c>
      <c r="W52" s="1"/>
      <c r="X52" s="91" t="s">
        <v>416</v>
      </c>
      <c r="Y52" s="106" t="s">
        <v>139</v>
      </c>
      <c r="Z52" s="107" t="str">
        <f>IF(OR(H26="A7",H26="A7-100T"),"0x01000808",IF(H26="EFX","0xF8120808","0x77601658"))</f>
        <v>0x01000808</v>
      </c>
      <c r="AA52" s="106" t="s">
        <v>140</v>
      </c>
      <c r="AB52" s="106" t="str">
        <f>"0x"&amp;DEC2HEX(O39)</f>
        <v>0x2FC</v>
      </c>
      <c r="AC52" s="105"/>
      <c r="AD52" s="104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customFormat="1" ht="108.75" spans="6:45">
      <c r="F53" s="34" t="s">
        <v>613</v>
      </c>
      <c r="G53" s="35"/>
      <c r="H53" s="35"/>
      <c r="I53" s="35"/>
      <c r="J53" s="71"/>
      <c r="K53" s="1"/>
      <c r="L53" s="47" t="s">
        <v>614</v>
      </c>
      <c r="M53" s="24"/>
      <c r="N53" s="24"/>
      <c r="O53" s="24"/>
      <c r="P53" s="48"/>
      <c r="Q53" s="1"/>
      <c r="R53" s="82" t="s">
        <v>250</v>
      </c>
      <c r="S53" s="74" t="s">
        <v>251</v>
      </c>
      <c r="T53" s="74" t="s">
        <v>252</v>
      </c>
      <c r="U53" s="75">
        <v>12</v>
      </c>
      <c r="V53" s="83" t="s">
        <v>182</v>
      </c>
      <c r="W53" s="1"/>
      <c r="X53" s="92" t="s">
        <v>615</v>
      </c>
      <c r="Y53" s="25" t="s">
        <v>616</v>
      </c>
      <c r="Z53" s="26" t="s">
        <v>617</v>
      </c>
      <c r="AA53" s="25" t="s">
        <v>618</v>
      </c>
      <c r="AB53" s="54">
        <f>IF(I35="TriggerWidth",1,0)</f>
        <v>0</v>
      </c>
      <c r="AC53" s="105"/>
      <c r="AD53" s="104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customFormat="1" ht="54" customHeight="1" spans="6:45">
      <c r="F54" s="36" t="s">
        <v>619</v>
      </c>
      <c r="G54" s="37" t="s">
        <v>620</v>
      </c>
      <c r="H54" s="38">
        <v>0</v>
      </c>
      <c r="I54" s="72">
        <v>0</v>
      </c>
      <c r="J54" s="73" t="s">
        <v>85</v>
      </c>
      <c r="K54" s="1"/>
      <c r="L54" s="74" t="s">
        <v>621</v>
      </c>
      <c r="M54" s="74" t="s">
        <v>622</v>
      </c>
      <c r="N54" s="74" t="s">
        <v>623</v>
      </c>
      <c r="O54" s="75">
        <f>MAX(INT(1000*I36/O30),1)</f>
        <v>152</v>
      </c>
      <c r="P54" s="74" t="s">
        <v>109</v>
      </c>
      <c r="Q54" s="1"/>
      <c r="R54" s="82" t="s">
        <v>255</v>
      </c>
      <c r="S54" s="25" t="s">
        <v>256</v>
      </c>
      <c r="T54" s="74" t="s">
        <v>257</v>
      </c>
      <c r="U54" s="75">
        <f>U49+U50+U51</f>
        <v>36</v>
      </c>
      <c r="V54" s="83" t="s">
        <v>182</v>
      </c>
      <c r="W54" s="1"/>
      <c r="X54" s="92" t="s">
        <v>624</v>
      </c>
      <c r="Y54" s="25" t="s">
        <v>625</v>
      </c>
      <c r="Z54" s="26" t="s">
        <v>626</v>
      </c>
      <c r="AA54" s="25" t="s">
        <v>627</v>
      </c>
      <c r="AB54" s="54" t="str">
        <f>"0x"&amp;DEC2HEX(O54)</f>
        <v>0x98</v>
      </c>
      <c r="AC54" s="105"/>
      <c r="AD54" s="104"/>
      <c r="AE54" s="40"/>
      <c r="AF54" s="40"/>
      <c r="AG54" s="40"/>
      <c r="AH54" s="40"/>
      <c r="AI54" s="40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customFormat="1" ht="95" customHeight="1" spans="6:45">
      <c r="F55" s="24" t="s">
        <v>449</v>
      </c>
      <c r="G55" s="24"/>
      <c r="H55" s="24"/>
      <c r="I55" s="24"/>
      <c r="J55" s="48"/>
      <c r="K55" s="1"/>
      <c r="L55" s="74" t="s">
        <v>628</v>
      </c>
      <c r="M55" s="74" t="s">
        <v>629</v>
      </c>
      <c r="N55" s="74" t="s">
        <v>630</v>
      </c>
      <c r="O55" s="75" t="str">
        <f>IF((I42=1)*(I35="TriggerWidth"),O34+IF(ROUNDUP((1000*I40/O30),0)&gt;O54,ROUNDUP((1000*I40/O30),0)-O54,0),"null")</f>
        <v>null</v>
      </c>
      <c r="P55" s="74" t="s">
        <v>109</v>
      </c>
      <c r="Q55" s="1"/>
      <c r="R55" s="82" t="s">
        <v>258</v>
      </c>
      <c r="S55" s="25" t="s">
        <v>259</v>
      </c>
      <c r="T55" s="74" t="s">
        <v>260</v>
      </c>
      <c r="U55" s="75">
        <f>U46+U47+U48+U52</f>
        <v>26</v>
      </c>
      <c r="V55" s="83" t="s">
        <v>182</v>
      </c>
      <c r="W55" s="1"/>
      <c r="X55" s="93" t="s">
        <v>631</v>
      </c>
      <c r="Y55" s="106" t="s">
        <v>632</v>
      </c>
      <c r="Z55" s="106" t="str">
        <f>IF(OR(H26="A7",H26="A7-100T"),"0x0100080c",IF(H26="EFX","0xF812080c","0x7760165c"))</f>
        <v>0x0100080c</v>
      </c>
      <c r="AA55" s="106" t="s">
        <v>151</v>
      </c>
      <c r="AB55" s="106" t="str">
        <f>"0x"&amp;DEC2HEX(MAX(O34,O35,O36,O37))</f>
        <v>0x424</v>
      </c>
      <c r="AC55" s="105"/>
      <c r="AD55" s="1"/>
      <c r="AE55" s="40"/>
      <c r="AF55" s="40"/>
      <c r="AG55" s="40"/>
      <c r="AH55" s="40"/>
      <c r="AI55" s="40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customFormat="1" ht="106" customHeight="1" spans="6:45">
      <c r="F56" s="25" t="s">
        <v>329</v>
      </c>
      <c r="G56" s="25" t="s">
        <v>453</v>
      </c>
      <c r="H56" s="33" t="s">
        <v>85</v>
      </c>
      <c r="I56" s="52">
        <f>B19</f>
        <v>1000</v>
      </c>
      <c r="J56" s="53" t="s">
        <v>454</v>
      </c>
      <c r="K56" s="1"/>
      <c r="L56" s="74" t="s">
        <v>633</v>
      </c>
      <c r="M56" s="74" t="s">
        <v>634</v>
      </c>
      <c r="N56" s="74" t="s">
        <v>635</v>
      </c>
      <c r="O56" s="75" t="str">
        <f>IF((I42=1)*(I35="TriggerWidth"),IF(I40&gt;I36,(ROUNDUP((1000*I40/O30),0)*O30+U37)/1000,(ROUNDUP((1000*I36/O30),0)*O30+U37)/1000),"null")</f>
        <v>null</v>
      </c>
      <c r="P56" s="74" t="s">
        <v>82</v>
      </c>
      <c r="Q56" s="1"/>
      <c r="R56" s="82" t="s">
        <v>261</v>
      </c>
      <c r="S56" s="74" t="s">
        <v>262</v>
      </c>
      <c r="T56" s="74" t="s">
        <v>263</v>
      </c>
      <c r="U56" s="75">
        <f>64-U48-U52-U54</f>
        <v>10</v>
      </c>
      <c r="V56" s="83" t="s">
        <v>182</v>
      </c>
      <c r="W56" s="1"/>
      <c r="X56" s="93" t="s">
        <v>636</v>
      </c>
      <c r="Y56" s="106" t="s">
        <v>637</v>
      </c>
      <c r="Z56" s="106" t="str">
        <f>IF(OR(H26="A7",H26="A7-100T"),"0x01000848",IF(H26="EFX","0xF8120848","0x77601850"))</f>
        <v>0x01000848</v>
      </c>
      <c r="AA56" s="106" t="s">
        <v>151</v>
      </c>
      <c r="AB56" s="106" t="str">
        <f>"0x"&amp;IF(I43="HighSpeed",IF(I35="TriggerWidth",DEC2HEX(MAX(O34,IF(I54=1,0,O36))),DEC2HEX(MAX(O34,O35,IF(I54=1,0,O36)))),IF(I35="TriggerWidth",DEC2HEX(MAX(O34,IF(I54=1,0,O36),U76)),DEC2HEX(MAX(O34,O35,IF(I54=1,0,O36),U76))))</f>
        <v>0x424</v>
      </c>
      <c r="AC56" s="105"/>
      <c r="AD56" s="1"/>
      <c r="AE56" s="104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customFormat="1" ht="108" spans="6:45">
      <c r="F57" s="25" t="s">
        <v>458</v>
      </c>
      <c r="G57" s="25" t="s">
        <v>33</v>
      </c>
      <c r="H57" s="33">
        <v>1500</v>
      </c>
      <c r="I57" s="52">
        <f t="shared" ref="I57:I61" si="0">B14</f>
        <v>1500</v>
      </c>
      <c r="J57" s="53" t="s">
        <v>182</v>
      </c>
      <c r="K57" s="1"/>
      <c r="L57" s="1"/>
      <c r="M57" s="1"/>
      <c r="N57" s="1"/>
      <c r="O57" s="1"/>
      <c r="P57" s="1"/>
      <c r="Q57" s="1"/>
      <c r="R57" s="47" t="s">
        <v>264</v>
      </c>
      <c r="S57" s="24"/>
      <c r="T57" s="24"/>
      <c r="U57" s="24"/>
      <c r="V57" s="48"/>
      <c r="W57" s="1"/>
      <c r="X57" s="93" t="s">
        <v>638</v>
      </c>
      <c r="Y57" s="106" t="s">
        <v>639</v>
      </c>
      <c r="Z57" s="106" t="str">
        <f>IF(OR(H26="A7",H26="A7-100T"),"0x01000844",IF(H26="EFX","0xF8120844","-"))</f>
        <v>0x01000844</v>
      </c>
      <c r="AA57" s="106" t="s">
        <v>151</v>
      </c>
      <c r="AB57" s="106" t="str">
        <f>"0x"&amp;DEC2HEX(MAX(O34,O35))</f>
        <v>0x424</v>
      </c>
      <c r="AC57" s="105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customFormat="1" ht="67.5" spans="6:45">
      <c r="F58" s="25" t="str">
        <f>"流通道包间隔(不包括12B最小值的部分) 
范围:0-"&amp;O50</f>
        <v>流通道包间隔(不包括12B最小值的部分) 
范围:0-180000</v>
      </c>
      <c r="G58" s="25" t="s">
        <v>34</v>
      </c>
      <c r="H58" s="33">
        <v>0</v>
      </c>
      <c r="I58" s="52">
        <f t="shared" si="0"/>
        <v>0</v>
      </c>
      <c r="J58" s="53" t="s">
        <v>640</v>
      </c>
      <c r="K58" s="1"/>
      <c r="L58" s="1"/>
      <c r="M58" s="1"/>
      <c r="N58" s="1"/>
      <c r="O58" s="1"/>
      <c r="P58" s="1"/>
      <c r="Q58" s="1"/>
      <c r="R58" s="43" t="s">
        <v>49</v>
      </c>
      <c r="S58" s="23" t="s">
        <v>50</v>
      </c>
      <c r="T58" s="23" t="s">
        <v>51</v>
      </c>
      <c r="U58" s="23" t="s">
        <v>62</v>
      </c>
      <c r="V58" s="80" t="s">
        <v>53</v>
      </c>
      <c r="W58" s="1"/>
      <c r="X58" s="94" t="s">
        <v>157</v>
      </c>
      <c r="Y58" s="25" t="s">
        <v>641</v>
      </c>
      <c r="Z58" s="26" t="str">
        <f>IF(OR(H26="A7",H26="A7-100T"),"0x01100000",IF(H26="EFX","0xF8140000","0x77601500"))</f>
        <v>0x01100000</v>
      </c>
      <c r="AA58" s="25" t="s">
        <v>496</v>
      </c>
      <c r="AB58" s="54" t="s">
        <v>497</v>
      </c>
      <c r="AC58" s="105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customFormat="1" ht="42" customHeight="1" spans="6:45">
      <c r="F59" s="25" t="str">
        <f>"预留带宽 
范围:0-"&amp;O52</f>
        <v>预留带宽 
范围:0-99</v>
      </c>
      <c r="G59" s="25" t="s">
        <v>39</v>
      </c>
      <c r="H59" s="33">
        <v>10</v>
      </c>
      <c r="I59" s="52">
        <f>B20</f>
        <v>10</v>
      </c>
      <c r="J59" s="53" t="s">
        <v>468</v>
      </c>
      <c r="K59" s="1"/>
      <c r="L59" s="1"/>
      <c r="M59" s="1"/>
      <c r="N59" s="1"/>
      <c r="O59" s="1"/>
      <c r="P59" s="1"/>
      <c r="Q59" s="1"/>
      <c r="R59" s="82" t="s">
        <v>500</v>
      </c>
      <c r="S59" s="25" t="s">
        <v>501</v>
      </c>
      <c r="T59" s="74" t="s">
        <v>266</v>
      </c>
      <c r="U59" s="75">
        <f>36</f>
        <v>36</v>
      </c>
      <c r="V59" s="83" t="s">
        <v>182</v>
      </c>
      <c r="W59" s="1"/>
      <c r="X59" s="94" t="s">
        <v>642</v>
      </c>
      <c r="Y59" s="25" t="s">
        <v>643</v>
      </c>
      <c r="Z59" s="26" t="str">
        <f>IF(OR(H26="A7",H26="A7-100T"),"0x010007f8",IF(H26="EFX","0xF81207f8","0x77601854"))</f>
        <v>0x010007f8</v>
      </c>
      <c r="AA59" s="25" t="s">
        <v>644</v>
      </c>
      <c r="AB59" s="54" t="str">
        <f>"0x"&amp;(IF(I37="Ultra Short",0,1))</f>
        <v>0x1</v>
      </c>
      <c r="AC59" s="105" t="s">
        <v>645</v>
      </c>
      <c r="AD59" s="1"/>
      <c r="AE59" s="104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customFormat="1" ht="39" customHeight="1" spans="6:45">
      <c r="F60" s="24" t="s">
        <v>244</v>
      </c>
      <c r="G60" s="24"/>
      <c r="H60" s="24"/>
      <c r="I60" s="24"/>
      <c r="J60" s="48"/>
      <c r="K60" s="1"/>
      <c r="L60" s="1"/>
      <c r="M60" s="1"/>
      <c r="N60" s="1"/>
      <c r="O60" s="1"/>
      <c r="P60" s="1"/>
      <c r="Q60" s="1"/>
      <c r="R60" s="82" t="s">
        <v>506</v>
      </c>
      <c r="S60" s="25" t="s">
        <v>507</v>
      </c>
      <c r="T60" s="74" t="s">
        <v>268</v>
      </c>
      <c r="U60" s="75">
        <v>10</v>
      </c>
      <c r="V60" s="83" t="s">
        <v>182</v>
      </c>
      <c r="W60" s="1"/>
      <c r="X60" s="94" t="s">
        <v>646</v>
      </c>
      <c r="Y60" s="25" t="s">
        <v>647</v>
      </c>
      <c r="Z60" s="26" t="str">
        <f>IF(OR(H26="A7",H26="A7-100T"),"0x010007fc",IF(H26="EFX","0xF81207fc","0x77601858"))</f>
        <v>0x010007fc</v>
      </c>
      <c r="AA60" s="25" t="s">
        <v>644</v>
      </c>
      <c r="AB60" s="54" t="str">
        <f>"0x"&amp;(IF(I37="Ultra Short",0,1))</f>
        <v>0x1</v>
      </c>
      <c r="AC60" s="105" t="s">
        <v>648</v>
      </c>
      <c r="AD60" s="1"/>
      <c r="AE60" s="104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customFormat="1" ht="121.5" spans="6:45">
      <c r="F61" s="25" t="s">
        <v>479</v>
      </c>
      <c r="G61" s="25" t="s">
        <v>248</v>
      </c>
      <c r="H61" s="25">
        <v>0</v>
      </c>
      <c r="I61" s="52">
        <f t="shared" si="0"/>
        <v>0</v>
      </c>
      <c r="J61" s="53" t="s">
        <v>85</v>
      </c>
      <c r="K61" s="1"/>
      <c r="L61" s="1"/>
      <c r="M61" s="1"/>
      <c r="N61" s="1"/>
      <c r="O61" s="1"/>
      <c r="P61" s="1"/>
      <c r="Q61" s="1"/>
      <c r="R61" s="88" t="s">
        <v>649</v>
      </c>
      <c r="S61" s="26" t="s">
        <v>650</v>
      </c>
      <c r="T61" s="26" t="s">
        <v>651</v>
      </c>
      <c r="U61" s="55">
        <v>48</v>
      </c>
      <c r="V61" s="89" t="s">
        <v>182</v>
      </c>
      <c r="W61" s="1"/>
      <c r="X61" s="94" t="s">
        <v>200</v>
      </c>
      <c r="Y61" s="25" t="s">
        <v>652</v>
      </c>
      <c r="Z61" s="26" t="str">
        <f>IF(OR(H26="A7",H26="A7-100T"),"0x0100084c",IF(H26="EFX","0xF812084c","0x7760185C"))</f>
        <v>0x0100084c</v>
      </c>
      <c r="AA61" s="25" t="s">
        <v>653</v>
      </c>
      <c r="AB61" s="54" t="str">
        <f>"0x"&amp;DEC2HEX(O34)</f>
        <v>0x424</v>
      </c>
      <c r="AC61" s="105" t="s">
        <v>654</v>
      </c>
      <c r="AD61" s="1"/>
      <c r="AE61" s="104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customFormat="1" ht="108" spans="6:45">
      <c r="F62" s="25" t="s">
        <v>244</v>
      </c>
      <c r="G62" s="25" t="s">
        <v>253</v>
      </c>
      <c r="H62" s="25">
        <f>VLOOKUP($H$27,$X$29:$AQ$45,19,FALSE)</f>
        <v>49</v>
      </c>
      <c r="I62" s="52">
        <f>B17</f>
        <v>94.5</v>
      </c>
      <c r="J62" s="53" t="s">
        <v>90</v>
      </c>
      <c r="K62" s="1"/>
      <c r="L62" s="1"/>
      <c r="M62" s="1"/>
      <c r="N62" s="1"/>
      <c r="O62" s="1"/>
      <c r="P62" s="1"/>
      <c r="Q62" s="1"/>
      <c r="R62" s="30" t="s">
        <v>196</v>
      </c>
      <c r="S62" s="25" t="s">
        <v>509</v>
      </c>
      <c r="T62" s="25" t="s">
        <v>655</v>
      </c>
      <c r="U62" s="59">
        <f>ROUNDDOWN(I49*I50*IF(I31=8,1,IF(OR(I31="10p",I31="12p"),1.5,2)),0)</f>
        <v>1310720</v>
      </c>
      <c r="V62" s="83" t="s">
        <v>182</v>
      </c>
      <c r="W62" s="1"/>
      <c r="X62" s="94" t="s">
        <v>656</v>
      </c>
      <c r="Y62" s="25" t="s">
        <v>657</v>
      </c>
      <c r="Z62" s="26" t="str">
        <f>IF(OR(H26="A7",H26="A7-100T"),"0x01200100",IF(H26="EFX","0xF8160100","0x7760144c"))</f>
        <v>0x01200100</v>
      </c>
      <c r="AA62" s="25" t="s">
        <v>658</v>
      </c>
      <c r="AB62" s="54" t="str">
        <f>"0x"&amp;DEC2HEX(I57-U54)</f>
        <v>0x5B8</v>
      </c>
      <c r="AC62" s="105" t="s">
        <v>659</v>
      </c>
      <c r="AD62" s="1"/>
      <c r="AE62" s="104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customFormat="1" ht="54" spans="6:45">
      <c r="F63" s="39" t="s">
        <v>660</v>
      </c>
      <c r="G63" s="39"/>
      <c r="H63" s="39"/>
      <c r="I63" s="39"/>
      <c r="J63" s="76"/>
      <c r="K63" s="77" t="s">
        <v>661</v>
      </c>
      <c r="L63" s="1"/>
      <c r="M63" s="1"/>
      <c r="N63" s="1"/>
      <c r="O63" s="1"/>
      <c r="P63" s="1"/>
      <c r="Q63" s="1"/>
      <c r="R63" s="82" t="s">
        <v>270</v>
      </c>
      <c r="S63" s="25" t="s">
        <v>511</v>
      </c>
      <c r="T63" s="25" t="s">
        <v>512</v>
      </c>
      <c r="U63" s="95">
        <f>U62+U61*I52</f>
        <v>1310720</v>
      </c>
      <c r="V63" s="83" t="s">
        <v>182</v>
      </c>
      <c r="W63" s="1"/>
      <c r="X63" s="94" t="s">
        <v>662</v>
      </c>
      <c r="Y63" s="25" t="s">
        <v>663</v>
      </c>
      <c r="Z63" s="26" t="str">
        <f>IF(OR(H26="A7",H26="A7-100T"),"0x01400080",IF(H26="EFX","0xF81A0080","0x776014c0"))</f>
        <v>0x01400080</v>
      </c>
      <c r="AA63" s="25" t="s">
        <v>664</v>
      </c>
      <c r="AB63" s="54" t="str">
        <f>"0x"&amp;DEC2HEX(IF(H26="EFX",ROUNDUP(I58*50/125,0),I58))</f>
        <v>0x0</v>
      </c>
      <c r="AC63" s="105" t="s">
        <v>665</v>
      </c>
      <c r="AD63" s="1"/>
      <c r="AE63" s="104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customFormat="1" ht="51" customHeight="1" spans="6:45">
      <c r="F64" s="25" t="s">
        <v>666</v>
      </c>
      <c r="G64" s="25" t="s">
        <v>526</v>
      </c>
      <c r="H64" s="25">
        <v>1</v>
      </c>
      <c r="I64" s="52">
        <f>B8</f>
        <v>1</v>
      </c>
      <c r="J64" s="53" t="s">
        <v>85</v>
      </c>
      <c r="K64" s="77"/>
      <c r="L64" s="1"/>
      <c r="M64" s="1"/>
      <c r="N64" s="1"/>
      <c r="O64" s="1"/>
      <c r="P64" s="1"/>
      <c r="Q64" s="1"/>
      <c r="R64" s="82" t="s">
        <v>273</v>
      </c>
      <c r="S64" s="25" t="s">
        <v>274</v>
      </c>
      <c r="T64" s="74" t="s">
        <v>275</v>
      </c>
      <c r="U64" s="96">
        <f>INT(U63/(I57-U54))</f>
        <v>895</v>
      </c>
      <c r="V64" s="83"/>
      <c r="W64" s="1"/>
      <c r="X64" s="92" t="s">
        <v>502</v>
      </c>
      <c r="Y64" s="26" t="s">
        <v>504</v>
      </c>
      <c r="Z64" s="26" t="str">
        <f>IF(OR(H26="A7",H26="A7-100T"),"0x01100010",IF(H26="EFX","0xF8140010","0x7760147c"))</f>
        <v>0x01100010</v>
      </c>
      <c r="AA64" s="26" t="s">
        <v>667</v>
      </c>
      <c r="AB64" s="55" t="str">
        <f>"0x"&amp;DEC2HEX(ROUNDUP((O30-U40/U41*1000000/U42)/(1000000/U42),0))</f>
        <v>0x2BC</v>
      </c>
      <c r="AC64" s="108" t="s">
        <v>668</v>
      </c>
      <c r="AD64" s="1"/>
      <c r="AE64" s="104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customFormat="1" ht="47" customHeight="1" spans="6:45">
      <c r="F65" s="68" t="s">
        <v>669</v>
      </c>
      <c r="G65" s="68" t="s">
        <v>527</v>
      </c>
      <c r="H65" s="68">
        <v>1</v>
      </c>
      <c r="I65" s="123">
        <f>B9</f>
        <v>1</v>
      </c>
      <c r="J65" s="114" t="s">
        <v>85</v>
      </c>
      <c r="K65" s="1"/>
      <c r="L65" s="1"/>
      <c r="M65" s="1"/>
      <c r="N65" s="1"/>
      <c r="O65" s="1"/>
      <c r="P65" s="1"/>
      <c r="Q65" s="1"/>
      <c r="R65" s="82" t="s">
        <v>276</v>
      </c>
      <c r="S65" s="25" t="s">
        <v>513</v>
      </c>
      <c r="T65" s="74" t="s">
        <v>278</v>
      </c>
      <c r="U65" s="96">
        <f>U63-(I57-U54)*U64</f>
        <v>440</v>
      </c>
      <c r="V65" s="83" t="s">
        <v>182</v>
      </c>
      <c r="W65" s="1"/>
      <c r="X65" s="132" t="s">
        <v>670</v>
      </c>
      <c r="Y65" s="139" t="s">
        <v>671</v>
      </c>
      <c r="Z65" s="140" t="s">
        <v>672</v>
      </c>
      <c r="AA65" s="118" t="s">
        <v>673</v>
      </c>
      <c r="AB65" s="141" t="str">
        <f>"0x"&amp;DEC2HEX(U40)</f>
        <v>0x570</v>
      </c>
      <c r="AC65" s="142" t="s">
        <v>674</v>
      </c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customFormat="1" ht="64" customHeight="1" spans="6:45">
      <c r="F66" s="115" t="s">
        <v>675</v>
      </c>
      <c r="G66" s="116"/>
      <c r="H66" s="116"/>
      <c r="I66" s="116"/>
      <c r="J66" s="124"/>
      <c r="K66" s="1"/>
      <c r="L66" s="1"/>
      <c r="M66" s="1"/>
      <c r="N66" s="1"/>
      <c r="O66" s="1"/>
      <c r="P66" s="1"/>
      <c r="Q66" s="1"/>
      <c r="R66" s="82" t="s">
        <v>279</v>
      </c>
      <c r="S66" s="25" t="s">
        <v>280</v>
      </c>
      <c r="T66" s="74" t="s">
        <v>281</v>
      </c>
      <c r="U66" s="75">
        <f>IF(MOD(U62,(I57-U54))=0,0,1)</f>
        <v>1</v>
      </c>
      <c r="V66" s="83"/>
      <c r="W66" s="1"/>
      <c r="X66" s="132" t="s">
        <v>676</v>
      </c>
      <c r="Y66" s="139" t="s">
        <v>677</v>
      </c>
      <c r="Z66" s="140" t="s">
        <v>678</v>
      </c>
      <c r="AA66" s="118" t="s">
        <v>679</v>
      </c>
      <c r="AB66" s="141" t="str">
        <f>"0x"&amp;DEC2HEX(IF(I43="Standard",0,1))</f>
        <v>0x0</v>
      </c>
      <c r="AC66" s="142" t="s">
        <v>680</v>
      </c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customFormat="1" ht="67.5" spans="6:45">
      <c r="F67" s="85" t="s">
        <v>681</v>
      </c>
      <c r="G67" s="86" t="s">
        <v>682</v>
      </c>
      <c r="H67" s="86">
        <v>1</v>
      </c>
      <c r="I67" s="125">
        <f>B6</f>
        <v>1</v>
      </c>
      <c r="J67" s="126" t="s">
        <v>85</v>
      </c>
      <c r="K67" s="1"/>
      <c r="L67" s="1"/>
      <c r="M67" s="1"/>
      <c r="N67" s="1"/>
      <c r="O67" s="1"/>
      <c r="P67" s="1"/>
      <c r="Q67" s="1"/>
      <c r="R67" s="82" t="s">
        <v>282</v>
      </c>
      <c r="S67" s="25" t="s">
        <v>515</v>
      </c>
      <c r="T67" s="74" t="s">
        <v>284</v>
      </c>
      <c r="U67" s="96">
        <f>IF(U65&lt;U56,U56,U65)</f>
        <v>440</v>
      </c>
      <c r="V67" s="83" t="s">
        <v>182</v>
      </c>
      <c r="W67" s="1"/>
      <c r="X67" s="90"/>
      <c r="Y67" s="104"/>
      <c r="Z67" s="104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customFormat="1" ht="81.75" spans="6:45">
      <c r="F68" s="117" t="s">
        <v>683</v>
      </c>
      <c r="G68" s="118" t="s">
        <v>684</v>
      </c>
      <c r="H68" s="118">
        <v>1</v>
      </c>
      <c r="I68" s="127">
        <f>B7</f>
        <v>1</v>
      </c>
      <c r="J68" s="128" t="s">
        <v>85</v>
      </c>
      <c r="K68" s="1"/>
      <c r="L68" s="1"/>
      <c r="M68" s="1"/>
      <c r="N68" s="1"/>
      <c r="O68" s="1"/>
      <c r="P68" s="1"/>
      <c r="Q68" s="1"/>
      <c r="R68" s="82" t="s">
        <v>285</v>
      </c>
      <c r="S68" s="25" t="s">
        <v>516</v>
      </c>
      <c r="T68" s="74" t="s">
        <v>287</v>
      </c>
      <c r="U68" s="96">
        <f>U55+U54+U59</f>
        <v>98</v>
      </c>
      <c r="V68" s="83" t="s">
        <v>182</v>
      </c>
      <c r="W68" s="1"/>
      <c r="X68" s="90"/>
      <c r="Y68" s="104"/>
      <c r="Z68" s="104"/>
      <c r="AA68" s="104"/>
      <c r="AB68" s="104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customFormat="1" ht="94.5" spans="6:45">
      <c r="F69" s="119" t="s">
        <v>358</v>
      </c>
      <c r="G69" s="120"/>
      <c r="H69" s="120"/>
      <c r="I69" s="120"/>
      <c r="J69" s="129"/>
      <c r="K69" s="1"/>
      <c r="L69" s="1"/>
      <c r="M69" s="1"/>
      <c r="N69" s="1"/>
      <c r="O69" s="1"/>
      <c r="P69" s="1"/>
      <c r="Q69" s="1"/>
      <c r="R69" s="82" t="s">
        <v>288</v>
      </c>
      <c r="S69" s="25" t="s">
        <v>517</v>
      </c>
      <c r="T69" s="74" t="s">
        <v>518</v>
      </c>
      <c r="U69" s="96">
        <f>U55+U54+U60</f>
        <v>72</v>
      </c>
      <c r="V69" s="83" t="s">
        <v>182</v>
      </c>
      <c r="W69" s="1"/>
      <c r="X69" s="90"/>
      <c r="Y69" s="104"/>
      <c r="Z69" s="1"/>
      <c r="AA69" s="104"/>
      <c r="AB69" s="104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customFormat="1" ht="95.25" spans="6:45">
      <c r="F70" s="121" t="s">
        <v>61</v>
      </c>
      <c r="G70" s="122" t="s">
        <v>508</v>
      </c>
      <c r="H70" s="122"/>
      <c r="I70" s="130">
        <f>O32</f>
        <v>72.0357297219421</v>
      </c>
      <c r="J70" s="131"/>
      <c r="K70" s="1"/>
      <c r="L70" s="1"/>
      <c r="M70" s="1"/>
      <c r="N70" s="1"/>
      <c r="O70" s="1"/>
      <c r="P70" s="1"/>
      <c r="Q70" s="1"/>
      <c r="R70" s="82" t="s">
        <v>290</v>
      </c>
      <c r="S70" s="25" t="s">
        <v>519</v>
      </c>
      <c r="T70" s="74" t="s">
        <v>520</v>
      </c>
      <c r="U70" s="96">
        <f>U64*(I57+U55)+U66*(U67+U55+U54)</f>
        <v>1366272</v>
      </c>
      <c r="V70" s="83" t="s">
        <v>182</v>
      </c>
      <c r="W70" s="1"/>
      <c r="X70" s="90"/>
      <c r="Y70" s="104"/>
      <c r="Z70" s="104"/>
      <c r="AA70" s="104"/>
      <c r="AB70" s="104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customFormat="1" ht="162" spans="6:45">
      <c r="F71" s="1"/>
      <c r="G71" s="1"/>
      <c r="H71" s="1"/>
      <c r="I71" s="40"/>
      <c r="J71" s="40"/>
      <c r="K71" s="1"/>
      <c r="L71" s="1"/>
      <c r="M71" s="1"/>
      <c r="N71" s="1"/>
      <c r="O71" s="1"/>
      <c r="P71" s="1"/>
      <c r="Q71" s="1"/>
      <c r="R71" s="30" t="s">
        <v>293</v>
      </c>
      <c r="S71" s="25" t="s">
        <v>521</v>
      </c>
      <c r="T71" s="25" t="s">
        <v>522</v>
      </c>
      <c r="U71" s="133">
        <f>(2+U66+U64)*(U53+I58)</f>
        <v>10776</v>
      </c>
      <c r="V71" s="51" t="s">
        <v>182</v>
      </c>
      <c r="W71" s="1"/>
      <c r="X71" s="90"/>
      <c r="Y71" s="104"/>
      <c r="Z71" s="104"/>
      <c r="AA71" s="104"/>
      <c r="AB71" s="104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customFormat="1" ht="67.5" spans="6:45">
      <c r="F72" s="1"/>
      <c r="G72" s="1"/>
      <c r="H72" s="1"/>
      <c r="I72" s="40"/>
      <c r="J72" s="40"/>
      <c r="K72" s="1"/>
      <c r="L72" s="1"/>
      <c r="M72" s="1"/>
      <c r="N72" s="1"/>
      <c r="O72" s="1"/>
      <c r="P72" s="1"/>
      <c r="Q72" s="1"/>
      <c r="R72" s="30" t="s">
        <v>203</v>
      </c>
      <c r="S72" s="25" t="s">
        <v>523</v>
      </c>
      <c r="T72" s="25" t="s">
        <v>297</v>
      </c>
      <c r="U72" s="59">
        <f>U68+U69+U70+U71</f>
        <v>1377218</v>
      </c>
      <c r="V72" s="51" t="s">
        <v>182</v>
      </c>
      <c r="W72" s="1"/>
      <c r="X72" s="90"/>
      <c r="Y72" s="104"/>
      <c r="Z72" s="104"/>
      <c r="AA72" s="104"/>
      <c r="AB72" s="104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customFormat="1" ht="40.5" spans="6:45">
      <c r="F73" s="40"/>
      <c r="G73" s="40"/>
      <c r="H73" s="40"/>
      <c r="I73" s="40"/>
      <c r="J73" s="40"/>
      <c r="K73" s="1"/>
      <c r="L73" s="1"/>
      <c r="M73" s="1"/>
      <c r="N73" s="1"/>
      <c r="O73" s="1"/>
      <c r="P73" s="1"/>
      <c r="Q73" s="1"/>
      <c r="R73" s="30" t="s">
        <v>298</v>
      </c>
      <c r="S73" s="25" t="s">
        <v>299</v>
      </c>
      <c r="T73" s="25" t="s">
        <v>300</v>
      </c>
      <c r="U73" s="54">
        <f>INT(1000000*I56*(100-I59)/80)</f>
        <v>1125000000</v>
      </c>
      <c r="V73" s="51" t="s">
        <v>524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customFormat="1" ht="54" spans="6:45">
      <c r="F74" s="40"/>
      <c r="G74" s="40"/>
      <c r="H74" s="40"/>
      <c r="I74" s="40"/>
      <c r="J74" s="40"/>
      <c r="K74" s="1"/>
      <c r="L74" s="1"/>
      <c r="M74" s="1"/>
      <c r="N74" s="1"/>
      <c r="O74" s="1"/>
      <c r="P74" s="1"/>
      <c r="Q74" s="1"/>
      <c r="R74" s="30" t="s">
        <v>302</v>
      </c>
      <c r="S74" s="25" t="s">
        <v>303</v>
      </c>
      <c r="T74" s="25" t="s">
        <v>685</v>
      </c>
      <c r="U74" s="54">
        <f>IF(I37="Ultra Short",ROUNDUP(U72*1000000/U73,0)*10,ROUNDUP(ROUNDUP(U72*1000000000/U73,0)*10/O30,0))</f>
        <v>935</v>
      </c>
      <c r="V74" s="53" t="str">
        <f>IF(I37="Ultra Short","us","line")</f>
        <v>line</v>
      </c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customFormat="1" ht="121.5" spans="6:45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34" t="s">
        <v>686</v>
      </c>
      <c r="S75" s="135" t="s">
        <v>687</v>
      </c>
      <c r="T75" s="135" t="s">
        <v>688</v>
      </c>
      <c r="U75" s="136">
        <f>INT(1000000*I56*(100)/80)</f>
        <v>1250000000</v>
      </c>
      <c r="V75" s="137" t="s">
        <v>524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customFormat="1" ht="135.75" spans="6:45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38" t="s">
        <v>689</v>
      </c>
      <c r="S76" s="68" t="s">
        <v>690</v>
      </c>
      <c r="T76" s="68" t="s">
        <v>685</v>
      </c>
      <c r="U76" s="69">
        <f>IF(I37="Ultra Short",ROUNDUP(U72*1000000/U75,0)*10,ROUNDUP(ROUNDUP(U72*1000000000/U75,0)*10/O30,0))</f>
        <v>842</v>
      </c>
      <c r="V76" s="114" t="str">
        <f>IF(I29="Ultra Short","us","line")</f>
        <v>line</v>
      </c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customFormat="1" spans="6:45"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customFormat="1" spans="6:45"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40"/>
      <c r="S78" s="40"/>
      <c r="T78" s="40"/>
      <c r="U78" s="40"/>
      <c r="V78" s="40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customFormat="1" spans="6:45"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40"/>
      <c r="S79" s="40"/>
      <c r="T79" s="40"/>
      <c r="U79" s="40"/>
      <c r="V79" s="40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customFormat="1" spans="6:45"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40"/>
      <c r="S80" s="40"/>
      <c r="T80" s="40"/>
      <c r="U80" s="40"/>
      <c r="V80" s="40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customFormat="1" spans="6:45"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40"/>
      <c r="S81" s="40"/>
      <c r="T81" s="40"/>
      <c r="U81" s="40"/>
      <c r="V81" s="40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customFormat="1" spans="6:45"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40"/>
      <c r="S82" s="40"/>
      <c r="T82" s="40"/>
      <c r="U82" s="40"/>
      <c r="V82" s="40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customFormat="1" spans="6:45"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40"/>
      <c r="S83" s="40"/>
      <c r="T83" s="40"/>
      <c r="U83" s="40"/>
      <c r="V83" s="40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customFormat="1" spans="6:45"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40"/>
      <c r="S84" s="40"/>
      <c r="T84" s="40"/>
      <c r="U84" s="40"/>
      <c r="V84" s="40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customFormat="1" spans="6:45"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40"/>
      <c r="S85" s="40"/>
      <c r="T85" s="40"/>
      <c r="U85" s="40"/>
      <c r="V85" s="40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customFormat="1" spans="6:45"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40"/>
      <c r="S86" s="40"/>
      <c r="T86" s="40"/>
      <c r="U86" s="40"/>
      <c r="V86" s="40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customFormat="1" spans="6:45"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40"/>
      <c r="S87" s="40"/>
      <c r="T87" s="40"/>
      <c r="U87" s="40"/>
      <c r="V87" s="40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customFormat="1" spans="6:45"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40"/>
      <c r="S88" s="40"/>
      <c r="T88" s="40"/>
      <c r="U88" s="40"/>
      <c r="V88" s="40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customFormat="1" spans="6:45"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40"/>
      <c r="S89" s="40"/>
      <c r="T89" s="40"/>
      <c r="U89" s="40"/>
      <c r="V89" s="40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customFormat="1" spans="6:45"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customFormat="1" spans="6:45"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customFormat="1" spans="6:45"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customFormat="1" spans="6:45"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customFormat="1" spans="6:45"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customFormat="1" spans="6:45"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customFormat="1" spans="6:45"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customFormat="1" spans="6:45"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customFormat="1" spans="6:45"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customFormat="1" spans="6:45"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customFormat="1" spans="6:45"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  <row r="101" customFormat="1" spans="6:45"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</row>
    <row r="102" customFormat="1" spans="6:45"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</row>
    <row r="103" customFormat="1" spans="6:45"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</row>
    <row r="104" customFormat="1" spans="6:45"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customFormat="1" spans="6:45"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customFormat="1" spans="6:45"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customFormat="1" spans="6:45"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customFormat="1" spans="6:45"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  <row r="109" customFormat="1" spans="6:45"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</row>
    <row r="110" customFormat="1" spans="6:45"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</row>
    <row r="111" customFormat="1" spans="6:45"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</row>
    <row r="112" customFormat="1" spans="6:45"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</row>
    <row r="113" customFormat="1" spans="6:45"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</row>
    <row r="114" customFormat="1" spans="6:45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</row>
    <row r="115" customFormat="1" spans="6:45"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</row>
    <row r="116" customFormat="1" spans="6:45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</row>
    <row r="117" customFormat="1" spans="6:45"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</row>
    <row r="118" customFormat="1" spans="6:45"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</row>
    <row r="119" customFormat="1" spans="6:45"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</row>
    <row r="120" customFormat="1" spans="6:45"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</row>
    <row r="121" customFormat="1" spans="6:45"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</row>
    <row r="122" customFormat="1" spans="6:45"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</row>
    <row r="123" customFormat="1" spans="6:45"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</row>
  </sheetData>
  <sheetProtection password="DE11" sheet="1" selectLockedCells="1" objects="1"/>
  <mergeCells count="34">
    <mergeCell ref="L27:P27"/>
    <mergeCell ref="R27:V27"/>
    <mergeCell ref="X27:AS27"/>
    <mergeCell ref="F28:J28"/>
    <mergeCell ref="R28:V28"/>
    <mergeCell ref="L29:P29"/>
    <mergeCell ref="F30:J30"/>
    <mergeCell ref="F33:J33"/>
    <mergeCell ref="L33:P33"/>
    <mergeCell ref="L38:P38"/>
    <mergeCell ref="F41:J41"/>
    <mergeCell ref="R43:V43"/>
    <mergeCell ref="F44:J44"/>
    <mergeCell ref="L44:P44"/>
    <mergeCell ref="R44:V44"/>
    <mergeCell ref="F46:J46"/>
    <mergeCell ref="X47:AC47"/>
    <mergeCell ref="L48:P48"/>
    <mergeCell ref="X48:AC48"/>
    <mergeCell ref="L49:P49"/>
    <mergeCell ref="F51:J51"/>
    <mergeCell ref="L51:P51"/>
    <mergeCell ref="F53:J53"/>
    <mergeCell ref="L53:P53"/>
    <mergeCell ref="F55:J55"/>
    <mergeCell ref="R57:V57"/>
    <mergeCell ref="F60:J60"/>
    <mergeCell ref="F63:J63"/>
    <mergeCell ref="F66:J66"/>
    <mergeCell ref="F69:J69"/>
    <mergeCell ref="G70:H70"/>
    <mergeCell ref="I70:J70"/>
    <mergeCell ref="K63:K64"/>
    <mergeCell ref="AC50:AC58"/>
  </mergeCells>
  <conditionalFormatting sqref="I31">
    <cfRule type="expression" priority="1">
      <formula>IF(I32=8,8)</formula>
    </cfRule>
  </conditionalFormatting>
  <dataValidations count="38">
    <dataValidation allowBlank="1" showErrorMessage="1" promptTitle="参数变化" prompt="该参数会根据当前生效的水平像素Binning、水平像素抽样变化" sqref="B2"/>
    <dataValidation type="list" allowBlank="1" showInputMessage="1" showErrorMessage="1" sqref="H26">
      <formula1>"S6,A7,EFX,A7-100T"</formula1>
    </dataValidation>
    <dataValidation allowBlank="1" showInputMessage="1" showErrorMessage="1" error="输入范围是64~1024，步长为2" sqref="A1:B1"/>
    <dataValidation type="list" allowBlank="1" showInputMessage="1" showErrorMessage="1" sqref="B19 I56">
      <formula1>"1000,100"</formula1>
    </dataValidation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输入数值非法" error="The input range is 2 to the maximum image height, with a step size of 2." sqref="B5">
      <formula1>AND((B5&lt;=B3),(B5&gt;=2),(MOD(B5,2)=0))</formula1>
    </dataValidation>
    <dataValidation type="list" allowBlank="1" showInputMessage="1" showErrorMessage="1" errorTitle="超出范围" error="曝光时间的范围是63us-1s" sqref="I37">
      <formula1>"Standard,Ultra Short"</formula1>
    </dataValidation>
    <dataValidation type="custom" allowBlank="1" showInputMessage="1" showErrorMessage="1" errorTitle="输入数值非法" error="The input range is 4 to the maximum image width, with a step size of 4." sqref="B4">
      <formula1>AND((B4&lt;=B2),(B4&gt;=4),(MOD(B4,4)=0))</formula1>
    </dataValidation>
    <dataValidation type="custom" allowBlank="1" showInputMessage="1" showErrorMessage="1" error="The input parameter value is either 1 or 2." sqref="B6 B7 B8 B9">
      <formula1>OR((B6=1),(B6=2))</formula1>
    </dataValidation>
    <dataValidation type="list" allowBlank="1" showInputMessage="1" showErrorMessage="1" errorTitle="超出范围" error="0:关闭&#10;1:打开" sqref="I61">
      <formula1>"0,1"</formula1>
    </dataValidation>
    <dataValidation type="whole" operator="between" allowBlank="1" showInputMessage="1" showErrorMessage="1" errorTitle="超出范围" error="The range of exposure time is 13 microseconds to 15 seconds" sqref="B10">
      <formula1>13</formula1>
      <formula2>15000000</formula2>
    </dataValidation>
    <dataValidation type="list" allowBlank="1" showInputMessage="1" showErrorMessage="1" errorTitle="超出范围" error="Please enter 0 or 1." sqref="B18">
      <formula1>"0,1"</formula1>
    </dataValidation>
    <dataValidation type="whole" operator="between" allowBlank="1" showInputMessage="1" showErrorMessage="1" error="The input range is [0, 5000], with the unit being microseconds (us)." sqref="B11">
      <formula1>0</formula1>
      <formula2>5000</formula2>
    </dataValidation>
    <dataValidation type="list" allowBlank="1" showInputMessage="1" showErrorMessage="1" sqref="B12">
      <formula1>"8,10,10p,12,12p"</formula1>
    </dataValidation>
    <dataValidation type="list" allowBlank="1" showInputMessage="1" showErrorMessage="1" sqref="B13 I32">
      <formula1>"8,10,12"</formula1>
    </dataValidation>
    <dataValidation type="custom" allowBlank="1" showInputMessage="1" showErrorMessage="1" error="The input range is 512 to 8192, with a step size of 4." sqref="B14">
      <formula1>AND((B14&lt;=8192),(B14&gt;=512),(MOD(B14,4)=0))</formula1>
    </dataValidation>
    <dataValidation type="custom" allowBlank="1" showInputMessage="1" showErrorMessage="1" sqref="I57">
      <formula1>AND(MOD(I57,4)=0,I57&gt;=512,I57&lt;=16384)</formula1>
    </dataValidation>
    <dataValidation type="whole" operator="between" allowBlank="1" showInputMessage="1" showErrorMessage="1" error="Please set the value range from 0 to the maximum packet interval." sqref="B15">
      <formula1>0</formula1>
      <formula2>B16</formula2>
    </dataValidation>
    <dataValidation type="custom" allowBlank="1" showInputMessage="1" showErrorMessage="1" error="Please set the value range from 0.1 to 10000.0, with precision up to one decimal place." sqref="B17">
      <formula1>AND(TRUNC(B17,1)=B17,(B17&gt;=0.1),(B17&lt;=10000))</formula1>
    </dataValidation>
    <dataValidation type="whole" operator="between" allowBlank="1" showInputMessage="1" showErrorMessage="1" error="Please set the range from 0 to the maximum reserved bandwidth" sqref="B20">
      <formula1>0</formula1>
      <formula2>B21</formula2>
    </dataValidation>
    <dataValidation type="list" allowBlank="1" showInputMessage="1" showErrorMessage="1" sqref="B22 I34 I52 I54">
      <formula1>"0,1"</formula1>
    </dataValidation>
    <dataValidation type="list" allowBlank="1" showInputMessage="1" showErrorMessage="1" sqref="B23">
      <formula1>"Standard,Ultra Short"</formula1>
    </dataValidation>
    <dataValidation type="list" allowBlank="1" showInputMessage="1" showErrorMessage="1" sqref="H27">
      <formula1>$X$29:$X$37</formula1>
    </dataValidation>
    <dataValidation type="list" allowBlank="1" showInputMessage="1" showErrorMessage="1" errorTitle="位深不可大于像素格式" sqref="I31">
      <formula1>"8,10,10p,12,12p"</formula1>
    </dataValidation>
    <dataValidation type="list" allowBlank="1" showInputMessage="1" showErrorMessage="1" sqref="I35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I36">
      <formula1>INT((O34-U36)*O30/1000)</formula1>
    </dataValidation>
    <dataValidation type="whole" operator="between" allowBlank="1" showInputMessage="1" showErrorMessage="1" errorTitle="输入数值非法" error="最小值64，最大值D13" sqref="I50">
      <formula1>8</formula1>
      <formula2>H50</formula2>
    </dataValidation>
    <dataValidation type="whole" operator="between" allowBlank="1" showInputMessage="1" showErrorMessage="1" errorTitle="超出范围" error="曝光延迟的范围是0-5000us" sqref="I39">
      <formula1>0</formula1>
      <formula2>5000</formula2>
    </dataValidation>
    <dataValidation type="whole" operator="greaterThan" allowBlank="1" showInputMessage="1" showErrorMessage="1" error="触发信号长度需要大于0" sqref="I40">
      <formula1>0</formula1>
    </dataValidation>
    <dataValidation type="list" allowBlank="1" showInputMessage="1" showErrorMessage="1" errorTitle="超出范围" error="曝光时间的范围是20us-1s" sqref="I42">
      <formula1>"0,1"</formula1>
    </dataValidation>
    <dataValidation type="list" allowBlank="1" showInputMessage="1" showErrorMessage="1" errorTitle="超出范围" error="曝光时间的范围是63us-1s" prompt="突发采集模式只能在触发模式下选择" sqref="I43">
      <formula1>"Standard,HighSpeed"</formula1>
    </dataValidation>
    <dataValidation type="whole" operator="between" allowBlank="1" showInputMessage="1" showErrorMessage="1" errorTitle="超出范围" error="触发延时的范围是0-3000000us" sqref="I45">
      <formula1>0</formula1>
      <formula2>3000000</formula2>
    </dataValidation>
    <dataValidation type="whole" operator="between" allowBlank="1" showInputMessage="1" showErrorMessage="1" errorTitle="输入数值非法" error="最小值64，最大值D12" sqref="I49">
      <formula1>8</formula1>
      <formula2>H49</formula2>
    </dataValidation>
    <dataValidation type="whole" operator="between" allowBlank="1" showInputMessage="1" showErrorMessage="1" errorTitle="设置值超出范围" error="包间隔设置值超出范围" sqref="I58">
      <formula1>0</formula1>
      <formula2>O50</formula2>
    </dataValidation>
    <dataValidation type="whole" operator="between" allowBlank="1" showInputMessage="1" showErrorMessage="1" errorTitle="设置值超出范围" error="预留带宽设置值超出范围" sqref="I59">
      <formula1>0</formula1>
      <formula2>O52</formula2>
    </dataValidation>
    <dataValidation type="decimal" operator="between" allowBlank="1" showInputMessage="1" showErrorMessage="1" sqref="I62">
      <formula1>0.1</formula1>
      <formula2>10000</formula2>
    </dataValidation>
    <dataValidation type="list" allowBlank="1" showInputMessage="1" showErrorMessage="1" sqref="F85">
      <formula1>$F$90:$F$93</formula1>
    </dataValidation>
    <dataValidation type="list" allowBlank="1" showInputMessage="1" showErrorMessage="1" sqref="I63:I65 I67:I68">
      <formula1>"1,2"</formula1>
    </dataValidation>
  </dataValidations>
  <pageMargins left="0.75" right="0.75" top="1" bottom="1" header="0.5" footer="0.5"/>
  <headerFooter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89"/>
  <sheetViews>
    <sheetView zoomScale="145" zoomScaleNormal="145" workbookViewId="0">
      <selection activeCell="C9" sqref="C9"/>
    </sheetView>
  </sheetViews>
  <sheetFormatPr defaultColWidth="9" defaultRowHeight="13.5"/>
  <cols>
    <col min="1" max="1" width="48.65" style="2" customWidth="1"/>
    <col min="2" max="2" width="14.3166666666667" style="2" customWidth="1"/>
    <col min="3" max="4" width="9" style="2"/>
    <col min="5" max="5" width="9" style="2" hidden="1" customWidth="1"/>
    <col min="6" max="6" width="20.5" style="1" hidden="1" customWidth="1"/>
    <col min="7" max="7" width="23.125" style="1" hidden="1" customWidth="1"/>
    <col min="8" max="8" width="26.125" style="1" hidden="1" customWidth="1"/>
    <col min="9" max="10" width="10" style="1" hidden="1" customWidth="1"/>
    <col min="11" max="11" width="13.75" style="1" hidden="1" customWidth="1"/>
    <col min="12" max="12" width="14.75" style="1" hidden="1" customWidth="1"/>
    <col min="13" max="13" width="22.625" style="1" hidden="1" customWidth="1"/>
    <col min="14" max="14" width="52.5" style="1" hidden="1" customWidth="1"/>
    <col min="15" max="15" width="16.125" style="1" hidden="1" customWidth="1"/>
    <col min="16" max="16" width="7.5" style="1" hidden="1" customWidth="1"/>
    <col min="17" max="17" width="4.5" style="1" hidden="1" customWidth="1"/>
    <col min="18" max="18" width="19.625" style="1" hidden="1" customWidth="1"/>
    <col min="19" max="19" width="32" style="1" hidden="1" customWidth="1"/>
    <col min="20" max="20" width="29" style="1" hidden="1" customWidth="1"/>
    <col min="21" max="21" width="12.75" style="1" hidden="1" customWidth="1"/>
    <col min="22" max="22" width="9.625" style="1" hidden="1" customWidth="1"/>
    <col min="23" max="23" width="4.875" style="1" hidden="1" customWidth="1"/>
    <col min="24" max="24" width="22.875" style="1" hidden="1" customWidth="1"/>
    <col min="25" max="25" width="17.75" style="1" hidden="1" customWidth="1"/>
    <col min="26" max="26" width="15.625" style="1" hidden="1" customWidth="1"/>
    <col min="27" max="27" width="15.75" style="1" hidden="1" customWidth="1"/>
    <col min="28" max="28" width="16.375" style="1" hidden="1" customWidth="1"/>
    <col min="29" max="29" width="50.125" style="1" hidden="1" customWidth="1"/>
    <col min="30" max="30" width="14.875" style="1" hidden="1" customWidth="1"/>
    <col min="31" max="31" width="15.25" style="1" hidden="1" customWidth="1"/>
    <col min="32" max="32" width="20.5" style="1" hidden="1" customWidth="1"/>
    <col min="33" max="33" width="22" style="1" hidden="1" customWidth="1"/>
    <col min="34" max="34" width="21.625" style="1" hidden="1" customWidth="1"/>
    <col min="35" max="35" width="20.625" style="1" hidden="1" customWidth="1"/>
    <col min="36" max="36" width="10" style="1" hidden="1" customWidth="1"/>
    <col min="37" max="37" width="9.75" style="1" hidden="1" customWidth="1"/>
    <col min="38" max="38" width="13.25" style="1" hidden="1" customWidth="1"/>
    <col min="39" max="39" width="13.875" style="1" hidden="1" customWidth="1"/>
    <col min="40" max="40" width="12.5" style="1" hidden="1" customWidth="1"/>
    <col min="41" max="41" width="23.875" style="1" hidden="1" customWidth="1"/>
    <col min="42" max="42" width="22.125" style="1" hidden="1" customWidth="1"/>
    <col min="43" max="44" width="17.5" style="1" hidden="1" customWidth="1"/>
    <col min="45" max="45" width="23.5" style="1" hidden="1" customWidth="1"/>
    <col min="46" max="51" width="9" style="1" hidden="1" customWidth="1"/>
    <col min="52" max="16384" width="9" style="1"/>
  </cols>
  <sheetData>
    <row r="1" customFormat="1" spans="1:2">
      <c r="A1" s="3"/>
      <c r="B1" s="4"/>
    </row>
    <row r="2" customFormat="1" spans="1:2">
      <c r="A2" s="5" t="s">
        <v>313</v>
      </c>
      <c r="B2" s="6">
        <f>H49</f>
        <v>640</v>
      </c>
    </row>
    <row r="3" customFormat="1" spans="1:2">
      <c r="A3" s="5" t="s">
        <v>315</v>
      </c>
      <c r="B3" s="6">
        <f>H50</f>
        <v>512</v>
      </c>
    </row>
    <row r="4" customFormat="1" spans="1:3">
      <c r="A4" s="3" t="s">
        <v>29</v>
      </c>
      <c r="B4" s="7">
        <v>640</v>
      </c>
      <c r="C4" s="8" t="str">
        <f>IF(OR(B4&gt;B2,B4&lt;2),G17,"")</f>
        <v/>
      </c>
    </row>
    <row r="5" customFormat="1" spans="1:3">
      <c r="A5" s="3" t="s">
        <v>30</v>
      </c>
      <c r="B5" s="7">
        <v>512</v>
      </c>
      <c r="C5" s="8" t="str">
        <f>IF(OR(B5&gt;B3,B5&lt;2),G18,"")</f>
        <v/>
      </c>
    </row>
    <row r="6" customFormat="1" spans="1:3">
      <c r="A6" s="5" t="s">
        <v>321</v>
      </c>
      <c r="B6" s="9">
        <v>1</v>
      </c>
      <c r="C6" s="8" t="str">
        <f>IF(AND(B6=2,B8=2),"Bining Horizontal and Decimation Horizontal cannot be set together"," ")</f>
        <v> </v>
      </c>
    </row>
    <row r="7" customFormat="1" spans="1:3">
      <c r="A7" s="5" t="s">
        <v>323</v>
      </c>
      <c r="B7" s="9">
        <v>1</v>
      </c>
      <c r="C7" s="8" t="str">
        <f>IF(AND(B7=2,B9=2),"Bining Vertical and Decimation Vertical cannot be set together"," ")</f>
        <v> </v>
      </c>
    </row>
    <row r="8" customFormat="1" spans="1:4">
      <c r="A8" s="5" t="s">
        <v>526</v>
      </c>
      <c r="B8" s="9">
        <v>1</v>
      </c>
      <c r="C8" s="8" t="str">
        <f>IF(AND(B6=2,B8=2),"Bining Horizontal and Decimation Horizontal cannot be set together"," ")</f>
        <v> </v>
      </c>
      <c r="D8" s="10"/>
    </row>
    <row r="9" customFormat="1" spans="1:3">
      <c r="A9" s="5" t="s">
        <v>527</v>
      </c>
      <c r="B9" s="9">
        <v>1</v>
      </c>
      <c r="C9" s="11" t="str">
        <f>IF(AND(B7=2,B9=2),"Bining Vertical and Decimation Vertical cannot be set together"," ")</f>
        <v> </v>
      </c>
    </row>
    <row r="10" customFormat="1" spans="1:2">
      <c r="A10" s="3" t="s">
        <v>31</v>
      </c>
      <c r="B10" s="12">
        <v>10000</v>
      </c>
    </row>
    <row r="11" customFormat="1" spans="1:2">
      <c r="A11" s="5" t="s">
        <v>324</v>
      </c>
      <c r="B11" s="9">
        <v>0</v>
      </c>
    </row>
    <row r="12" customFormat="1" spans="1:2">
      <c r="A12" s="3" t="s">
        <v>528</v>
      </c>
      <c r="B12" s="7">
        <v>8</v>
      </c>
    </row>
    <row r="13" customFormat="1" spans="1:3">
      <c r="A13" s="3" t="s">
        <v>529</v>
      </c>
      <c r="B13" s="7">
        <v>12</v>
      </c>
      <c r="C13" s="8" t="str">
        <f>IF(B12=8,IF(AND(B13&lt;&gt;8,B13&lt;&gt;12),"Only Set BPP8, BPP12",""),IF(OR(B12=10,B12="10p"),IF(B13&lt;&gt;10,"Only Set BPP10",""),IF(OR(B12=12,B12="12p"),IF(B13&lt;&gt;12,"Only Set BPP12",""),"")))</f>
        <v/>
      </c>
    </row>
    <row r="14" customFormat="1" spans="1:2">
      <c r="A14" s="3" t="s">
        <v>33</v>
      </c>
      <c r="B14" s="7">
        <v>1500</v>
      </c>
    </row>
    <row r="15" customFormat="1" spans="1:2">
      <c r="A15" s="3" t="s">
        <v>34</v>
      </c>
      <c r="B15" s="7">
        <v>0</v>
      </c>
    </row>
    <row r="16" customFormat="1" spans="1:7">
      <c r="A16" s="3" t="s">
        <v>35</v>
      </c>
      <c r="B16" s="13">
        <f>O50</f>
        <v>180000</v>
      </c>
      <c r="G16" s="14" t="s">
        <v>365</v>
      </c>
    </row>
    <row r="17" customFormat="1" spans="1:7">
      <c r="A17" s="3" t="s">
        <v>36</v>
      </c>
      <c r="B17" s="7">
        <v>94.5</v>
      </c>
      <c r="G17" t="s">
        <v>530</v>
      </c>
    </row>
    <row r="18" customFormat="1" spans="1:7">
      <c r="A18" s="3" t="s">
        <v>37</v>
      </c>
      <c r="B18" s="7">
        <v>0</v>
      </c>
      <c r="G18" t="s">
        <v>531</v>
      </c>
    </row>
    <row r="19" customFormat="1" spans="1:7">
      <c r="A19" s="3" t="s">
        <v>38</v>
      </c>
      <c r="B19" s="7">
        <v>1000</v>
      </c>
      <c r="G19" t="s">
        <v>362</v>
      </c>
    </row>
    <row r="20" customFormat="1" spans="1:7">
      <c r="A20" s="3" t="s">
        <v>39</v>
      </c>
      <c r="B20" s="7">
        <v>10</v>
      </c>
      <c r="G20" s="14"/>
    </row>
    <row r="21" customFormat="1" spans="1:7">
      <c r="A21" s="3" t="s">
        <v>40</v>
      </c>
      <c r="B21" s="13">
        <f>O52</f>
        <v>99</v>
      </c>
      <c r="G21" s="14"/>
    </row>
    <row r="22" customFormat="1" spans="1:7">
      <c r="A22" s="3" t="s">
        <v>532</v>
      </c>
      <c r="B22" s="7">
        <v>0</v>
      </c>
      <c r="G22" s="14">
        <f>IF(OR(OR(B4&gt;B2,B4&lt;4),OR(B5&gt;B3,B5&lt;2)),1,0)</f>
        <v>0</v>
      </c>
    </row>
    <row r="23" customFormat="1" spans="1:2">
      <c r="A23" s="3" t="s">
        <v>533</v>
      </c>
      <c r="B23" s="7" t="s">
        <v>534</v>
      </c>
    </row>
    <row r="24" customFormat="1" ht="14.25" spans="1:2">
      <c r="A24" s="15"/>
      <c r="B24" s="13"/>
    </row>
    <row r="25" customFormat="1" ht="15" spans="1:45">
      <c r="A25" s="15" t="s">
        <v>41</v>
      </c>
      <c r="B25" s="16">
        <f>O32</f>
        <v>97.7708251857646</v>
      </c>
      <c r="C25" s="8" t="str">
        <f>IF(G22,G19,"")</f>
        <v/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="1" customFormat="1" ht="14.25" spans="6:29">
      <c r="F26" s="17" t="s">
        <v>535</v>
      </c>
      <c r="G26" s="17" t="s">
        <v>536</v>
      </c>
      <c r="H26" s="18" t="s">
        <v>537</v>
      </c>
      <c r="I26" s="40"/>
      <c r="J26" s="40"/>
      <c r="X26" s="40"/>
      <c r="Y26" s="40"/>
      <c r="Z26" s="40"/>
      <c r="AA26" s="40"/>
      <c r="AB26" s="40"/>
      <c r="AC26" s="40"/>
    </row>
    <row r="27" s="1" customFormat="1" ht="14.25" customHeight="1" spans="6:45">
      <c r="F27" s="19" t="s">
        <v>43</v>
      </c>
      <c r="G27" s="20" t="s">
        <v>42</v>
      </c>
      <c r="H27" s="21" t="s">
        <v>691</v>
      </c>
      <c r="I27" s="40"/>
      <c r="J27" s="40"/>
      <c r="L27" s="41" t="s">
        <v>45</v>
      </c>
      <c r="M27" s="22"/>
      <c r="N27" s="22"/>
      <c r="O27" s="22"/>
      <c r="P27" s="42"/>
      <c r="R27" s="41" t="s">
        <v>46</v>
      </c>
      <c r="S27" s="22"/>
      <c r="T27" s="22"/>
      <c r="U27" s="22"/>
      <c r="V27" s="42"/>
      <c r="X27" s="78" t="s">
        <v>371</v>
      </c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</row>
    <row r="28" s="1" customFormat="1" spans="6:45">
      <c r="F28" s="22" t="s">
        <v>372</v>
      </c>
      <c r="G28" s="22"/>
      <c r="H28" s="22"/>
      <c r="I28" s="22"/>
      <c r="J28" s="42"/>
      <c r="L28" s="43" t="s">
        <v>49</v>
      </c>
      <c r="M28" s="23" t="s">
        <v>50</v>
      </c>
      <c r="N28" s="44" t="s">
        <v>51</v>
      </c>
      <c r="O28" s="23" t="s">
        <v>52</v>
      </c>
      <c r="P28" s="45" t="s">
        <v>53</v>
      </c>
      <c r="R28" s="47" t="s">
        <v>540</v>
      </c>
      <c r="S28" s="24"/>
      <c r="T28" s="24"/>
      <c r="U28" s="24"/>
      <c r="V28" s="48"/>
      <c r="X28" s="79" t="s">
        <v>374</v>
      </c>
      <c r="Y28" s="98" t="s">
        <v>375</v>
      </c>
      <c r="Z28" s="98" t="s">
        <v>541</v>
      </c>
      <c r="AA28" s="98" t="s">
        <v>542</v>
      </c>
      <c r="AB28" s="98" t="s">
        <v>378</v>
      </c>
      <c r="AC28" s="98" t="s">
        <v>379</v>
      </c>
      <c r="AD28" s="98" t="s">
        <v>380</v>
      </c>
      <c r="AE28" s="98" t="s">
        <v>381</v>
      </c>
      <c r="AF28" s="98" t="s">
        <v>382</v>
      </c>
      <c r="AG28" s="98" t="s">
        <v>383</v>
      </c>
      <c r="AH28" s="98" t="s">
        <v>384</v>
      </c>
      <c r="AI28" s="98" t="s">
        <v>385</v>
      </c>
      <c r="AJ28" s="109" t="s">
        <v>543</v>
      </c>
      <c r="AK28" s="98" t="s">
        <v>544</v>
      </c>
      <c r="AL28" s="98" t="s">
        <v>545</v>
      </c>
      <c r="AM28" s="98" t="s">
        <v>546</v>
      </c>
      <c r="AN28" s="98" t="s">
        <v>547</v>
      </c>
      <c r="AO28" s="98" t="s">
        <v>548</v>
      </c>
      <c r="AP28" s="98" t="s">
        <v>549</v>
      </c>
      <c r="AQ28" s="111" t="s">
        <v>550</v>
      </c>
      <c r="AR28" s="111" t="s">
        <v>551</v>
      </c>
      <c r="AS28" s="112" t="s">
        <v>552</v>
      </c>
    </row>
    <row r="29" s="1" customFormat="1" ht="27.75" spans="6:45">
      <c r="F29" s="23" t="s">
        <v>49</v>
      </c>
      <c r="G29" s="23" t="s">
        <v>553</v>
      </c>
      <c r="H29" s="23" t="s">
        <v>59</v>
      </c>
      <c r="I29" s="23" t="s">
        <v>60</v>
      </c>
      <c r="J29" s="46" t="s">
        <v>53</v>
      </c>
      <c r="L29" s="47" t="s">
        <v>61</v>
      </c>
      <c r="M29" s="24"/>
      <c r="N29" s="24"/>
      <c r="O29" s="24"/>
      <c r="P29" s="48"/>
      <c r="R29" s="43" t="s">
        <v>49</v>
      </c>
      <c r="S29" s="23" t="s">
        <v>50</v>
      </c>
      <c r="T29" s="23" t="s">
        <v>51</v>
      </c>
      <c r="U29" s="23" t="s">
        <v>62</v>
      </c>
      <c r="V29" s="80" t="s">
        <v>53</v>
      </c>
      <c r="X29" s="81" t="s">
        <v>539</v>
      </c>
      <c r="Y29" s="99" t="s">
        <v>554</v>
      </c>
      <c r="Z29" s="99" t="s">
        <v>555</v>
      </c>
      <c r="AA29" s="100" t="str">
        <f>IF(OR(H26="A7",H26="A7-100T"),"37647","不确定")</f>
        <v>37647</v>
      </c>
      <c r="AB29" s="99">
        <v>1</v>
      </c>
      <c r="AC29" s="99">
        <v>4</v>
      </c>
      <c r="AD29" s="99">
        <f>8/I67</f>
        <v>8</v>
      </c>
      <c r="AE29" s="99">
        <f>4</f>
        <v>4</v>
      </c>
      <c r="AF29" s="101">
        <f>1280/I67</f>
        <v>1280</v>
      </c>
      <c r="AG29" s="99">
        <v>2</v>
      </c>
      <c r="AH29" s="101">
        <f>1392/I67</f>
        <v>1392</v>
      </c>
      <c r="AI29" s="101">
        <f>1024/I68</f>
        <v>1024</v>
      </c>
      <c r="AJ29" s="110" t="str">
        <f>IF(OR(H26="A7",H26="A7-100T"),IF(I32=12,"493",IF(I32=10,"282","262")),"不确定")</f>
        <v>493</v>
      </c>
      <c r="AK29" s="99">
        <v>36</v>
      </c>
      <c r="AL29" s="99">
        <v>17</v>
      </c>
      <c r="AM29" s="68">
        <v>7372</v>
      </c>
      <c r="AN29" s="99">
        <v>10</v>
      </c>
      <c r="AO29" s="99">
        <v>10000</v>
      </c>
      <c r="AP29" s="99">
        <v>49</v>
      </c>
      <c r="AQ29" s="113" t="s">
        <v>556</v>
      </c>
      <c r="AR29" s="113">
        <v>4</v>
      </c>
      <c r="AS29" s="114">
        <v>80000</v>
      </c>
    </row>
    <row r="30" s="1" customFormat="1" ht="41.25" spans="6:45">
      <c r="F30" s="24" t="s">
        <v>66</v>
      </c>
      <c r="G30" s="24"/>
      <c r="H30" s="24"/>
      <c r="I30" s="24"/>
      <c r="J30" s="48"/>
      <c r="K30" s="1" t="str">
        <f>"0x"&amp;DEC2HEX(ROUNDUP((O30-U40/U41*1000000/U42)/(1000000/U42),0))</f>
        <v>0x35C</v>
      </c>
      <c r="L30" s="30" t="s">
        <v>67</v>
      </c>
      <c r="M30" s="25" t="s">
        <v>68</v>
      </c>
      <c r="N30" s="49" t="s">
        <v>69</v>
      </c>
      <c r="O30" s="50">
        <f>ROUNDUP(1000000*U33/U30,0)</f>
        <v>13096</v>
      </c>
      <c r="P30" s="51" t="s">
        <v>70</v>
      </c>
      <c r="R30" s="82" t="s">
        <v>557</v>
      </c>
      <c r="S30" s="74" t="s">
        <v>71</v>
      </c>
      <c r="T30" s="74" t="s">
        <v>558</v>
      </c>
      <c r="U30" s="75" t="str">
        <f>VLOOKUP($H$27,$X$29:$AQ$45,4,FALSE)</f>
        <v>37647</v>
      </c>
      <c r="V30" s="83" t="s">
        <v>73</v>
      </c>
      <c r="X30" s="81" t="s">
        <v>691</v>
      </c>
      <c r="Y30" s="99" t="s">
        <v>692</v>
      </c>
      <c r="Z30" s="99" t="s">
        <v>555</v>
      </c>
      <c r="AA30" s="100" t="str">
        <f>IF(OR(H26="A7",H26="A7-100T"),"37647","不确定")</f>
        <v>37647</v>
      </c>
      <c r="AB30" s="99">
        <v>1</v>
      </c>
      <c r="AC30" s="99">
        <v>4</v>
      </c>
      <c r="AD30" s="99">
        <f>8/I67</f>
        <v>8</v>
      </c>
      <c r="AE30" s="99">
        <f>4</f>
        <v>4</v>
      </c>
      <c r="AF30" s="101">
        <f>640/I67/I64</f>
        <v>640</v>
      </c>
      <c r="AG30" s="99">
        <v>2</v>
      </c>
      <c r="AH30" s="101">
        <f>752/I67</f>
        <v>752</v>
      </c>
      <c r="AI30" s="101">
        <f>512/I68/I65</f>
        <v>512</v>
      </c>
      <c r="AJ30" s="110" t="str">
        <f>IF(OR(H26="A7",H26="A7-100T"),IF(I32=12,"493",IF(I32=10,"282","262")),"不确定")</f>
        <v>493</v>
      </c>
      <c r="AK30" s="99">
        <v>36</v>
      </c>
      <c r="AL30" s="99">
        <v>17</v>
      </c>
      <c r="AM30" s="68">
        <v>7372</v>
      </c>
      <c r="AN30" s="99">
        <v>10</v>
      </c>
      <c r="AO30" s="99">
        <v>10000</v>
      </c>
      <c r="AP30" s="99">
        <v>49</v>
      </c>
      <c r="AQ30" s="113" t="s">
        <v>556</v>
      </c>
      <c r="AR30" s="113">
        <v>4</v>
      </c>
      <c r="AS30" s="114">
        <v>80000</v>
      </c>
    </row>
    <row r="31" s="1" customFormat="1" ht="108" spans="6:45">
      <c r="F31" s="25" t="str">
        <f>VLOOKUP($H$27,$X$29:$AQ$45,20,FALSE)</f>
        <v>像素格式(8/10/12)</v>
      </c>
      <c r="G31" s="25" t="s">
        <v>77</v>
      </c>
      <c r="H31" s="25">
        <v>8</v>
      </c>
      <c r="I31" s="52">
        <f>B12</f>
        <v>8</v>
      </c>
      <c r="J31" s="53" t="s">
        <v>85</v>
      </c>
      <c r="K31" s="1" t="str">
        <f>"0x"&amp;DEC2HEX(O39)</f>
        <v>0x2FC</v>
      </c>
      <c r="L31" s="30" t="s">
        <v>79</v>
      </c>
      <c r="M31" s="25" t="s">
        <v>80</v>
      </c>
      <c r="N31" s="49" t="s">
        <v>560</v>
      </c>
      <c r="O31" s="54">
        <f>IF(I37="Ultra Short",MAX(O34,O35,O36,O37),IF(I35="TriggerWidth",ROUNDUP(MAX(O34,O55,O36)*O30/1000,0),ROUNDUP(MAX(O34,O35,O36,O37)*O30/1000,0)))</f>
        <v>10228</v>
      </c>
      <c r="P31" s="51" t="s">
        <v>82</v>
      </c>
      <c r="R31" s="82" t="s">
        <v>99</v>
      </c>
      <c r="S31" s="74" t="s">
        <v>100</v>
      </c>
      <c r="T31" s="74" t="s">
        <v>561</v>
      </c>
      <c r="U31" s="75">
        <f>VLOOKUP($H$27,$X$29:$AQ$45,7,FALSE)</f>
        <v>8</v>
      </c>
      <c r="V31" s="83" t="s">
        <v>101</v>
      </c>
      <c r="X31" s="84"/>
      <c r="Y31" s="84"/>
      <c r="Z31" s="84"/>
      <c r="AA31" s="102"/>
      <c r="AB31" s="84"/>
      <c r="AC31" s="84"/>
      <c r="AD31" s="84"/>
      <c r="AE31" s="84"/>
      <c r="AF31" s="103"/>
      <c r="AG31" s="84"/>
      <c r="AH31" s="103"/>
      <c r="AI31" s="103"/>
      <c r="AJ31" s="102"/>
      <c r="AK31" s="84"/>
      <c r="AL31" s="84"/>
      <c r="AM31" s="84"/>
      <c r="AN31" s="84"/>
      <c r="AO31" s="84"/>
      <c r="AP31" s="84"/>
      <c r="AQ31" s="84"/>
      <c r="AR31" s="84"/>
      <c r="AS31" s="84"/>
    </row>
    <row r="32" s="1" customFormat="1" ht="54" spans="6:45">
      <c r="F32" s="25" t="s">
        <v>562</v>
      </c>
      <c r="G32" s="25" t="s">
        <v>563</v>
      </c>
      <c r="H32" s="25">
        <v>12</v>
      </c>
      <c r="I32" s="52">
        <f>B13</f>
        <v>12</v>
      </c>
      <c r="J32" s="53" t="s">
        <v>85</v>
      </c>
      <c r="L32" s="30" t="s">
        <v>88</v>
      </c>
      <c r="M32" s="25" t="s">
        <v>61</v>
      </c>
      <c r="N32" s="49" t="s">
        <v>564</v>
      </c>
      <c r="O32" s="54">
        <f>1000000/O31</f>
        <v>97.7708251857646</v>
      </c>
      <c r="P32" s="51" t="s">
        <v>90</v>
      </c>
      <c r="R32" s="82" t="s">
        <v>110</v>
      </c>
      <c r="S32" s="74" t="s">
        <v>565</v>
      </c>
      <c r="T32" s="74" t="s">
        <v>561</v>
      </c>
      <c r="U32" s="75">
        <f>VLOOKUP($H$27,$X$29:$AQ$45,8,FALSE)</f>
        <v>4</v>
      </c>
      <c r="V32" s="83" t="s">
        <v>101</v>
      </c>
      <c r="X32" s="84"/>
      <c r="Y32" s="84"/>
      <c r="Z32" s="84"/>
      <c r="AA32" s="102"/>
      <c r="AB32" s="84"/>
      <c r="AC32" s="84"/>
      <c r="AD32" s="84"/>
      <c r="AE32" s="84"/>
      <c r="AF32" s="84"/>
      <c r="AG32" s="84"/>
      <c r="AH32" s="84"/>
      <c r="AI32" s="84"/>
      <c r="AJ32" s="102"/>
      <c r="AK32" s="84"/>
      <c r="AL32" s="84"/>
      <c r="AM32" s="84"/>
      <c r="AN32" s="84"/>
      <c r="AO32" s="84"/>
      <c r="AP32" s="84"/>
      <c r="AQ32" s="84"/>
      <c r="AR32" s="84"/>
      <c r="AS32" s="84"/>
    </row>
    <row r="33" s="1" customFormat="1" ht="27" spans="6:45">
      <c r="F33" s="24" t="s">
        <v>87</v>
      </c>
      <c r="G33" s="24"/>
      <c r="H33" s="24"/>
      <c r="I33" s="24"/>
      <c r="J33" s="48"/>
      <c r="L33" s="47" t="s">
        <v>98</v>
      </c>
      <c r="M33" s="24"/>
      <c r="N33" s="24"/>
      <c r="O33" s="24"/>
      <c r="P33" s="48"/>
      <c r="R33" s="85" t="s">
        <v>118</v>
      </c>
      <c r="S33" s="86" t="s">
        <v>566</v>
      </c>
      <c r="T33" s="86" t="s">
        <v>561</v>
      </c>
      <c r="U33" s="87" t="str">
        <f>IF(I31=8,VLOOKUP($H$27,$X$29:$AQ$45,13,FALSE),IF(OR(I31="10p",I31="12p"),ROUNDUP(VLOOKUP($H$27,$X$29:$AQ$45,13,FALSE),0),VLOOKUP($H$27,$X$29:$AQ$45,13,FALSE)))</f>
        <v>493</v>
      </c>
      <c r="V33" s="83" t="s">
        <v>121</v>
      </c>
      <c r="X33" s="84"/>
      <c r="Y33" s="84"/>
      <c r="Z33" s="84"/>
      <c r="AA33" s="102"/>
      <c r="AB33" s="84"/>
      <c r="AC33" s="84"/>
      <c r="AD33" s="84"/>
      <c r="AE33" s="84"/>
      <c r="AF33" s="84"/>
      <c r="AG33" s="84"/>
      <c r="AH33" s="84"/>
      <c r="AI33" s="84"/>
      <c r="AJ33" s="102"/>
      <c r="AK33" s="84"/>
      <c r="AL33" s="84"/>
      <c r="AM33" s="84"/>
      <c r="AN33" s="84"/>
      <c r="AO33" s="84"/>
      <c r="AP33" s="84"/>
      <c r="AQ33" s="84"/>
      <c r="AR33" s="84"/>
      <c r="AS33" s="84"/>
    </row>
    <row r="34" s="1" customFormat="1" ht="40.5" spans="6:45">
      <c r="F34" s="25" t="s">
        <v>567</v>
      </c>
      <c r="G34" s="25" t="s">
        <v>532</v>
      </c>
      <c r="H34" s="25" t="s">
        <v>568</v>
      </c>
      <c r="I34" s="52">
        <f>B22</f>
        <v>0</v>
      </c>
      <c r="J34" s="53" t="s">
        <v>85</v>
      </c>
      <c r="K34" s="1" t="str">
        <f>"0x"&amp;DEC2HEX(IF(OR(H26="A7",H26="A7-100T",H26="EFX"),IF(I37="Ultra Short",50,U34),IF(I37="Ultra Short",54,U33)))</f>
        <v>0x28F</v>
      </c>
      <c r="L34" s="30" t="s">
        <v>106</v>
      </c>
      <c r="M34" s="25" t="s">
        <v>107</v>
      </c>
      <c r="N34" s="25" t="s">
        <v>569</v>
      </c>
      <c r="O34" s="55">
        <f>IF(I37="Ultra Short",ROUNDUP((I50*I65+U35+2)*O30/1000,0),IF(I34=1,I50*I65+U35+O35,I50*I65+U35))</f>
        <v>548</v>
      </c>
      <c r="P34" s="56" t="str">
        <f>IF(I37="Ultra Short","us","line")</f>
        <v>line</v>
      </c>
      <c r="R34" s="88" t="s">
        <v>570</v>
      </c>
      <c r="S34" s="26" t="s">
        <v>571</v>
      </c>
      <c r="T34" s="26" t="s">
        <v>572</v>
      </c>
      <c r="U34" s="55">
        <f>ROUNDUP((U33/U30*50*1000),0)</f>
        <v>655</v>
      </c>
      <c r="V34" s="89" t="s">
        <v>121</v>
      </c>
      <c r="X34" s="84"/>
      <c r="Y34" s="84"/>
      <c r="Z34" s="84"/>
      <c r="AA34" s="102"/>
      <c r="AB34" s="84"/>
      <c r="AC34" s="84"/>
      <c r="AD34" s="84"/>
      <c r="AE34" s="84"/>
      <c r="AF34" s="84"/>
      <c r="AG34" s="84"/>
      <c r="AH34" s="84"/>
      <c r="AI34" s="84"/>
      <c r="AJ34" s="102"/>
      <c r="AK34" s="84"/>
      <c r="AL34" s="84"/>
      <c r="AM34" s="84"/>
      <c r="AN34" s="84"/>
      <c r="AO34" s="84"/>
      <c r="AP34" s="84"/>
      <c r="AQ34" s="84"/>
      <c r="AR34" s="84"/>
      <c r="AS34" s="84"/>
    </row>
    <row r="35" s="1" customFormat="1" ht="54" spans="6:29">
      <c r="F35" s="25" t="s">
        <v>573</v>
      </c>
      <c r="G35" s="25" t="s">
        <v>574</v>
      </c>
      <c r="H35" s="25" t="s">
        <v>575</v>
      </c>
      <c r="I35" s="52" t="s">
        <v>575</v>
      </c>
      <c r="J35" s="53" t="s">
        <v>85</v>
      </c>
      <c r="K35" s="1" t="str">
        <f>"0x"&amp;DEC2HEX(ROUNDUP((O30-U40/U41*1000000/U42)/(1000000/U42),0))</f>
        <v>0x35C</v>
      </c>
      <c r="L35" s="30" t="s">
        <v>115</v>
      </c>
      <c r="M35" s="25" t="s">
        <v>116</v>
      </c>
      <c r="N35" s="25" t="s">
        <v>576</v>
      </c>
      <c r="O35" s="54">
        <f>IF(I37="Ultra Short",O39+O40+O43+20,O39+IF(I54=1,0,O40)+U36)</f>
        <v>781</v>
      </c>
      <c r="P35" s="56" t="str">
        <f>IF(I37="Ultra Short","us","line")</f>
        <v>line</v>
      </c>
      <c r="R35" s="82" t="s">
        <v>135</v>
      </c>
      <c r="S35" s="74" t="s">
        <v>577</v>
      </c>
      <c r="T35" s="74" t="s">
        <v>561</v>
      </c>
      <c r="U35" s="75">
        <f>VLOOKUP($H$27,$X$29:$AQ$45,14,FALSE)</f>
        <v>36</v>
      </c>
      <c r="V35" s="83" t="s">
        <v>109</v>
      </c>
      <c r="X35" s="40"/>
      <c r="Y35" s="40"/>
      <c r="Z35" s="40"/>
      <c r="AA35" s="40"/>
      <c r="AB35" s="40"/>
      <c r="AC35" s="40"/>
    </row>
    <row r="36" s="1" customFormat="1" ht="67.5" spans="6:29">
      <c r="F36" s="25" t="str">
        <f>"交叠曝光时间
(0-"&amp;INT((O34-U36)*O30/1000)&amp;")"</f>
        <v>交叠曝光时间
(0-6953)</v>
      </c>
      <c r="G36" s="26" t="s">
        <v>578</v>
      </c>
      <c r="H36" s="25">
        <f>INT((VLOOKUP($H$27,$X$29:$AT$46,12,FALSE)+VLOOKUP($H$27,$X$29:$AT$46,14,FALSE)-U36)*ROUNDUP(1000000*VLOOKUP($H$27,$X$29:$AT$46,13,FALSE)/U30,0)/1000)</f>
        <v>6953</v>
      </c>
      <c r="I36" s="52">
        <v>2000</v>
      </c>
      <c r="J36" s="53" t="s">
        <v>82</v>
      </c>
      <c r="L36" s="30" t="s">
        <v>132</v>
      </c>
      <c r="M36" s="25" t="s">
        <v>133</v>
      </c>
      <c r="N36" s="25" t="s">
        <v>579</v>
      </c>
      <c r="O36" s="54">
        <f>IF(I37="Ultra Short",ROUNDUP((1000000/I62)*I61,0),ROUNDUP(((1000000000/I62)/O30)*I61,0))</f>
        <v>0</v>
      </c>
      <c r="P36" s="56" t="str">
        <f>IF(I37="Ultra Short","us","line")</f>
        <v>line</v>
      </c>
      <c r="R36" s="82" t="s">
        <v>146</v>
      </c>
      <c r="S36" s="74" t="s">
        <v>580</v>
      </c>
      <c r="T36" s="74" t="s">
        <v>561</v>
      </c>
      <c r="U36" s="75">
        <f>VLOOKUP($H$27,$X$29:$AQ$45,15,FALSE)</f>
        <v>17</v>
      </c>
      <c r="V36" s="83" t="s">
        <v>109</v>
      </c>
      <c r="X36" s="40"/>
      <c r="Y36" s="40"/>
      <c r="Z36" s="40"/>
      <c r="AA36" s="40"/>
      <c r="AB36" s="40"/>
      <c r="AC36" s="40"/>
    </row>
    <row r="37" s="1" customFormat="1" ht="54" spans="6:29">
      <c r="F37" s="25" t="s">
        <v>581</v>
      </c>
      <c r="G37" s="25" t="s">
        <v>533</v>
      </c>
      <c r="H37" s="25" t="s">
        <v>534</v>
      </c>
      <c r="I37" s="52" t="str">
        <f>B23</f>
        <v>Standard</v>
      </c>
      <c r="J37" s="53" t="s">
        <v>85</v>
      </c>
      <c r="K37" s="1" t="str">
        <f>"0x"&amp;DEC2HEX(O34)</f>
        <v>0x224</v>
      </c>
      <c r="L37" s="30" t="s">
        <v>143</v>
      </c>
      <c r="M37" s="25" t="s">
        <v>144</v>
      </c>
      <c r="N37" s="25" t="s">
        <v>582</v>
      </c>
      <c r="O37" s="54">
        <f>IF(I42=0,U74,IF(I43="Standard",U76,0))</f>
        <v>234</v>
      </c>
      <c r="P37" s="56" t="str">
        <f>IF(I37="Ultra Short","us","line")</f>
        <v>line</v>
      </c>
      <c r="R37" s="30" t="s">
        <v>155</v>
      </c>
      <c r="S37" s="25" t="s">
        <v>583</v>
      </c>
      <c r="T37" s="74" t="s">
        <v>561</v>
      </c>
      <c r="U37" s="75">
        <f>VLOOKUP($H$27,$X$29:$AS$45,16,FALSE)</f>
        <v>7372</v>
      </c>
      <c r="V37" s="51" t="s">
        <v>70</v>
      </c>
      <c r="X37" s="40"/>
      <c r="Y37" s="40"/>
      <c r="Z37" s="40"/>
      <c r="AA37" s="40"/>
      <c r="AB37" s="40"/>
      <c r="AC37" s="40"/>
    </row>
    <row r="38" s="1" customFormat="1" spans="6:29">
      <c r="F38" s="25" t="s">
        <v>87</v>
      </c>
      <c r="G38" s="25" t="s">
        <v>96</v>
      </c>
      <c r="H38" s="25">
        <f>VLOOKUP($H$27,$X$29:$AQ$45,18,FALSE)</f>
        <v>10000</v>
      </c>
      <c r="I38" s="40">
        <f>B10</f>
        <v>10000</v>
      </c>
      <c r="J38" s="53" t="s">
        <v>82</v>
      </c>
      <c r="K38" s="1" t="str">
        <f>"0x"&amp;DEC2HEX(MAX(O34,O35,O36,O37))</f>
        <v>0x30D</v>
      </c>
      <c r="L38" s="47" t="s">
        <v>434</v>
      </c>
      <c r="M38" s="24"/>
      <c r="N38" s="24"/>
      <c r="O38" s="24"/>
      <c r="P38" s="48"/>
      <c r="R38" s="30" t="s">
        <v>584</v>
      </c>
      <c r="S38" s="25" t="s">
        <v>585</v>
      </c>
      <c r="T38" s="74" t="s">
        <v>561</v>
      </c>
      <c r="U38" s="75">
        <f>VLOOKUP($H$27,$X$29:$AQ$45,5,FALSE)</f>
        <v>1</v>
      </c>
      <c r="V38" s="51"/>
      <c r="X38" s="40"/>
      <c r="Y38" s="40"/>
      <c r="Z38" s="40"/>
      <c r="AA38" s="40"/>
      <c r="AB38" s="40"/>
      <c r="AC38" s="40"/>
    </row>
    <row r="39" s="1" customFormat="1" ht="67.5" spans="6:22">
      <c r="F39" s="25" t="s">
        <v>104</v>
      </c>
      <c r="G39" s="25" t="s">
        <v>103</v>
      </c>
      <c r="H39" s="25">
        <v>0</v>
      </c>
      <c r="I39" s="52">
        <f>B11</f>
        <v>0</v>
      </c>
      <c r="J39" s="53" t="s">
        <v>82</v>
      </c>
      <c r="K39" s="1" t="str">
        <f>"0x"&amp;IF(I43="HighSpeed",IF(I35="TriggerWidth",DEC2HEX(MAX(O34,IF(I54=1,0,O36))),DEC2HEX(MAX(O34,O35,IF(I54=1,0,O36)))),IF(I35="TriggerWidth",DEC2HEX(MAX(O34,IF(I54=1,0,O36),U76)),DEC2HEX(MAX(O34,O35,IF(I54=1,0,O36),U76))))</f>
        <v>0x30D</v>
      </c>
      <c r="L39" s="30" t="s">
        <v>586</v>
      </c>
      <c r="M39" s="25" t="s">
        <v>587</v>
      </c>
      <c r="N39" s="26" t="s">
        <v>588</v>
      </c>
      <c r="O39" s="55">
        <f>IF(I37="Ultra Short",IF(I38&gt;8,ROUNDUP((1000*I38-U37)/1000,0),1),MAX(ROUNDUP(((1000*I38-U37)/O30),0),1))</f>
        <v>764</v>
      </c>
      <c r="P39" s="56" t="str">
        <f>IF(I37="Ultra Short","us","line")</f>
        <v>line</v>
      </c>
      <c r="R39" s="30" t="s">
        <v>589</v>
      </c>
      <c r="S39" s="25" t="s">
        <v>590</v>
      </c>
      <c r="T39" s="74" t="s">
        <v>561</v>
      </c>
      <c r="U39" s="75">
        <f>VLOOKUP($H$27,$X$29:$AQ$45,6,FALSE)</f>
        <v>4</v>
      </c>
      <c r="V39" s="51"/>
    </row>
    <row r="40" s="1" customFormat="1" ht="54" spans="6:22">
      <c r="F40" s="27" t="s">
        <v>591</v>
      </c>
      <c r="G40" s="26" t="s">
        <v>592</v>
      </c>
      <c r="H40" s="25" t="s">
        <v>85</v>
      </c>
      <c r="I40" s="52">
        <v>10000</v>
      </c>
      <c r="J40" s="25" t="s">
        <v>82</v>
      </c>
      <c r="K40" s="1" t="str">
        <f>"0x"&amp;DEC2HEX(MAX(O34,O35))</f>
        <v>0x30D</v>
      </c>
      <c r="L40" s="30" t="s">
        <v>593</v>
      </c>
      <c r="M40" s="25" t="s">
        <v>441</v>
      </c>
      <c r="N40" s="25" t="s">
        <v>594</v>
      </c>
      <c r="O40" s="54">
        <f>IF(I37="Ultra Short",I39,ROUNDUP(((1000*I39)/O30),0))</f>
        <v>0</v>
      </c>
      <c r="P40" s="56" t="str">
        <f>IF(I37="Ultra Short","us","line")</f>
        <v>line</v>
      </c>
      <c r="R40" s="30" t="s">
        <v>595</v>
      </c>
      <c r="S40" s="25" t="s">
        <v>596</v>
      </c>
      <c r="T40" s="74" t="s">
        <v>561</v>
      </c>
      <c r="U40" s="75">
        <f>VLOOKUP($H$27,$X$29:$AQ$45,11,FALSE)</f>
        <v>752</v>
      </c>
      <c r="V40" s="51"/>
    </row>
    <row r="41" s="1" customFormat="1" spans="6:22">
      <c r="F41" s="28" t="s">
        <v>597</v>
      </c>
      <c r="G41" s="29"/>
      <c r="H41" s="29"/>
      <c r="I41" s="29"/>
      <c r="J41" s="57"/>
      <c r="L41" s="30" t="s">
        <v>168</v>
      </c>
      <c r="M41" s="25" t="s">
        <v>169</v>
      </c>
      <c r="N41" s="25">
        <v>0</v>
      </c>
      <c r="O41" s="54">
        <v>0</v>
      </c>
      <c r="P41" s="51" t="s">
        <v>82</v>
      </c>
      <c r="R41" s="30" t="s">
        <v>598</v>
      </c>
      <c r="S41" s="25" t="s">
        <v>599</v>
      </c>
      <c r="T41" s="74" t="s">
        <v>561</v>
      </c>
      <c r="U41" s="75">
        <f>VLOOKUP($H$27,$X$29:$AS$45,21,FALSE)</f>
        <v>4</v>
      </c>
      <c r="V41" s="51"/>
    </row>
    <row r="42" s="1" customFormat="1" ht="67.5" spans="6:27">
      <c r="F42" s="30" t="s">
        <v>597</v>
      </c>
      <c r="G42" s="25" t="s">
        <v>600</v>
      </c>
      <c r="H42" s="25">
        <v>0</v>
      </c>
      <c r="I42" s="52">
        <v>0</v>
      </c>
      <c r="J42" s="58" t="s">
        <v>85</v>
      </c>
      <c r="L42" s="30" t="s">
        <v>172</v>
      </c>
      <c r="M42" s="25" t="s">
        <v>601</v>
      </c>
      <c r="N42" s="25" t="s">
        <v>602</v>
      </c>
      <c r="O42" s="54">
        <f>IF(I37="Ultra Short",IF((I38+4)&gt;100,(I38+4),100),IF((I38+4*O30/1000)&gt;100,(I38+4*O30/1000),100))</f>
        <v>10052.384</v>
      </c>
      <c r="P42" s="51" t="s">
        <v>82</v>
      </c>
      <c r="R42" s="30" t="s">
        <v>603</v>
      </c>
      <c r="S42" s="25" t="s">
        <v>604</v>
      </c>
      <c r="T42" s="74" t="s">
        <v>561</v>
      </c>
      <c r="U42" s="75">
        <f>VLOOKUP($H$27,$X$29:$AS$45,22,FALSE)</f>
        <v>80000</v>
      </c>
      <c r="V42" s="51" t="s">
        <v>73</v>
      </c>
      <c r="AA42" s="104"/>
    </row>
    <row r="43" s="1" customFormat="1" ht="81" spans="6:27">
      <c r="F43" s="31" t="s">
        <v>605</v>
      </c>
      <c r="G43" s="25" t="s">
        <v>606</v>
      </c>
      <c r="H43" s="25" t="s">
        <v>534</v>
      </c>
      <c r="I43" s="52" t="s">
        <v>534</v>
      </c>
      <c r="J43" s="53" t="s">
        <v>85</v>
      </c>
      <c r="L43" s="30" t="s">
        <v>200</v>
      </c>
      <c r="M43" s="25" t="s">
        <v>201</v>
      </c>
      <c r="N43" s="25" t="s">
        <v>607</v>
      </c>
      <c r="O43" s="59">
        <f>IF(I37="Ultra Short",ROUNDUP((VLOOKUP($H$27,$X$29:$AQ$45,17,FALSE)+11+I50*I65)*O30/1000,0),VLOOKUP($H$27,$X$29:$AQ$45,17,FALSE)+11+I50*I65)</f>
        <v>533</v>
      </c>
      <c r="P43" s="56" t="str">
        <f>IF(I37="Ultra Short","us","line")</f>
        <v>line</v>
      </c>
      <c r="R43" s="62" t="s">
        <v>608</v>
      </c>
      <c r="S43" s="63"/>
      <c r="T43" s="63"/>
      <c r="U43" s="63"/>
      <c r="V43" s="64"/>
      <c r="AA43" s="104"/>
    </row>
    <row r="44" s="1" customFormat="1" spans="6:27">
      <c r="F44" s="24" t="s">
        <v>105</v>
      </c>
      <c r="G44" s="24"/>
      <c r="H44" s="24"/>
      <c r="I44" s="24"/>
      <c r="J44" s="48"/>
      <c r="L44" s="47" t="s">
        <v>347</v>
      </c>
      <c r="M44" s="24"/>
      <c r="N44" s="24"/>
      <c r="O44" s="24"/>
      <c r="P44" s="48"/>
      <c r="R44" s="47" t="s">
        <v>439</v>
      </c>
      <c r="S44" s="24"/>
      <c r="T44" s="24"/>
      <c r="U44" s="24"/>
      <c r="V44" s="48"/>
      <c r="AA44" s="104"/>
    </row>
    <row r="45" s="1" customFormat="1" ht="40.5" spans="6:31">
      <c r="F45" s="25" t="s">
        <v>426</v>
      </c>
      <c r="G45" s="25" t="s">
        <v>113</v>
      </c>
      <c r="H45" s="25">
        <v>0</v>
      </c>
      <c r="I45" s="52">
        <v>0</v>
      </c>
      <c r="J45" s="53" t="s">
        <v>82</v>
      </c>
      <c r="L45" s="30" t="s">
        <v>450</v>
      </c>
      <c r="M45" s="25" t="s">
        <v>451</v>
      </c>
      <c r="N45" s="25" t="s">
        <v>452</v>
      </c>
      <c r="O45" s="59">
        <f>O32*U62</f>
        <v>32037543.9968713</v>
      </c>
      <c r="P45" s="51" t="s">
        <v>195</v>
      </c>
      <c r="R45" s="43" t="s">
        <v>49</v>
      </c>
      <c r="S45" s="23" t="s">
        <v>50</v>
      </c>
      <c r="T45" s="23" t="s">
        <v>51</v>
      </c>
      <c r="U45" s="23" t="s">
        <v>62</v>
      </c>
      <c r="V45" s="80" t="s">
        <v>53</v>
      </c>
      <c r="X45" s="90"/>
      <c r="Y45" s="104"/>
      <c r="Z45" s="104"/>
      <c r="AA45" s="104"/>
      <c r="AB45" s="104"/>
      <c r="AE45" s="104"/>
    </row>
    <row r="46" s="1" customFormat="1" ht="49.5" customHeight="1" spans="6:31">
      <c r="F46" s="24" t="s">
        <v>131</v>
      </c>
      <c r="G46" s="24"/>
      <c r="H46" s="24"/>
      <c r="I46" s="24"/>
      <c r="J46" s="48"/>
      <c r="L46" s="60" t="s">
        <v>455</v>
      </c>
      <c r="M46" s="61" t="s">
        <v>456</v>
      </c>
      <c r="N46" s="25" t="s">
        <v>457</v>
      </c>
      <c r="O46" s="54">
        <f>O32*U70</f>
        <v>33395385.2170512</v>
      </c>
      <c r="P46" s="51" t="s">
        <v>195</v>
      </c>
      <c r="R46" s="82" t="s">
        <v>222</v>
      </c>
      <c r="S46" s="74" t="s">
        <v>223</v>
      </c>
      <c r="T46" s="74" t="s">
        <v>224</v>
      </c>
      <c r="U46" s="75">
        <v>7</v>
      </c>
      <c r="V46" s="83" t="s">
        <v>182</v>
      </c>
      <c r="X46" s="90"/>
      <c r="Y46" s="104"/>
      <c r="Z46" s="104"/>
      <c r="AA46" s="104"/>
      <c r="AB46" s="104"/>
      <c r="AE46" s="104"/>
    </row>
    <row r="47" s="1" customFormat="1" ht="45.2" customHeight="1" spans="6:29">
      <c r="F47" s="25" t="s">
        <v>142</v>
      </c>
      <c r="G47" s="25" t="s">
        <v>141</v>
      </c>
      <c r="H47" s="25">
        <v>0</v>
      </c>
      <c r="I47" s="52">
        <v>0</v>
      </c>
      <c r="J47" s="53" t="s">
        <v>101</v>
      </c>
      <c r="L47" s="60" t="s">
        <v>459</v>
      </c>
      <c r="M47" s="61" t="s">
        <v>460</v>
      </c>
      <c r="N47" s="25" t="s">
        <v>461</v>
      </c>
      <c r="O47" s="54">
        <f>1250*I56*(100-I59)</f>
        <v>112500000</v>
      </c>
      <c r="P47" s="51" t="s">
        <v>195</v>
      </c>
      <c r="R47" s="82" t="s">
        <v>226</v>
      </c>
      <c r="S47" s="74" t="s">
        <v>227</v>
      </c>
      <c r="T47" s="74" t="s">
        <v>228</v>
      </c>
      <c r="U47" s="75">
        <v>1</v>
      </c>
      <c r="V47" s="83" t="s">
        <v>182</v>
      </c>
      <c r="X47" s="41" t="s">
        <v>609</v>
      </c>
      <c r="Y47" s="22"/>
      <c r="Z47" s="22"/>
      <c r="AA47" s="22"/>
      <c r="AB47" s="22"/>
      <c r="AC47" s="42"/>
    </row>
    <row r="48" s="1" customFormat="1" ht="27" spans="6:30">
      <c r="F48" s="25" t="s">
        <v>153</v>
      </c>
      <c r="G48" s="25" t="s">
        <v>152</v>
      </c>
      <c r="H48" s="25">
        <v>0</v>
      </c>
      <c r="I48" s="52">
        <v>0</v>
      </c>
      <c r="J48" s="53" t="s">
        <v>101</v>
      </c>
      <c r="L48" s="62" t="s">
        <v>608</v>
      </c>
      <c r="M48" s="63"/>
      <c r="N48" s="63"/>
      <c r="O48" s="63"/>
      <c r="P48" s="64"/>
      <c r="R48" s="82" t="s">
        <v>229</v>
      </c>
      <c r="S48" s="74" t="s">
        <v>230</v>
      </c>
      <c r="T48" s="74" t="s">
        <v>231</v>
      </c>
      <c r="U48" s="75">
        <v>14</v>
      </c>
      <c r="V48" s="83" t="s">
        <v>182</v>
      </c>
      <c r="X48" s="47" t="s">
        <v>112</v>
      </c>
      <c r="Y48" s="24"/>
      <c r="Z48" s="24"/>
      <c r="AA48" s="24"/>
      <c r="AB48" s="24"/>
      <c r="AC48" s="48"/>
      <c r="AD48" s="104"/>
    </row>
    <row r="49" s="1" customFormat="1" ht="27" spans="6:30">
      <c r="F49" s="25" t="s">
        <v>159</v>
      </c>
      <c r="G49" s="25" t="s">
        <v>29</v>
      </c>
      <c r="H49" s="25">
        <f>VLOOKUP($H$27,$X$29:$AQ$45,9,FALSE)</f>
        <v>640</v>
      </c>
      <c r="I49" s="52">
        <f>B4</f>
        <v>640</v>
      </c>
      <c r="J49" s="53" t="s">
        <v>101</v>
      </c>
      <c r="L49" s="47" t="s">
        <v>464</v>
      </c>
      <c r="M49" s="24"/>
      <c r="N49" s="24"/>
      <c r="O49" s="24"/>
      <c r="P49" s="48"/>
      <c r="R49" s="82" t="s">
        <v>234</v>
      </c>
      <c r="S49" s="74" t="s">
        <v>235</v>
      </c>
      <c r="T49" s="74" t="s">
        <v>236</v>
      </c>
      <c r="U49" s="75">
        <v>20</v>
      </c>
      <c r="V49" s="83" t="s">
        <v>182</v>
      </c>
      <c r="X49" s="43" t="s">
        <v>55</v>
      </c>
      <c r="Y49" s="23" t="s">
        <v>50</v>
      </c>
      <c r="Z49" s="23" t="s">
        <v>57</v>
      </c>
      <c r="AA49" s="23" t="s">
        <v>51</v>
      </c>
      <c r="AB49" s="23" t="s">
        <v>58</v>
      </c>
      <c r="AC49" s="46" t="s">
        <v>610</v>
      </c>
      <c r="AD49" s="104"/>
    </row>
    <row r="50" s="1" customFormat="1" ht="108" spans="6:30">
      <c r="F50" s="25" t="s">
        <v>167</v>
      </c>
      <c r="G50" s="25" t="s">
        <v>30</v>
      </c>
      <c r="H50" s="25">
        <f>VLOOKUP($H$27,$X$29:$AQ$45,12,FALSE)</f>
        <v>512</v>
      </c>
      <c r="I50" s="52">
        <f>B5</f>
        <v>512</v>
      </c>
      <c r="J50" s="53" t="s">
        <v>101</v>
      </c>
      <c r="L50" s="60" t="s">
        <v>469</v>
      </c>
      <c r="M50" s="65" t="s">
        <v>470</v>
      </c>
      <c r="N50" s="25" t="s">
        <v>611</v>
      </c>
      <c r="O50" s="54">
        <f>IF(ROUNDDOWN((U73-(U70+U68+U69))/(U64+U66+2),0)-12&lt;180000,ROUNDDOWN((U73-(U70+U68+U69))/(U64+U66+2)-12,0),180000)</f>
        <v>180000</v>
      </c>
      <c r="P50" s="51" t="s">
        <v>182</v>
      </c>
      <c r="R50" s="82" t="s">
        <v>237</v>
      </c>
      <c r="S50" s="74" t="s">
        <v>238</v>
      </c>
      <c r="T50" s="74" t="s">
        <v>239</v>
      </c>
      <c r="U50" s="75">
        <v>8</v>
      </c>
      <c r="V50" s="83" t="s">
        <v>182</v>
      </c>
      <c r="X50" s="30" t="s">
        <v>122</v>
      </c>
      <c r="Y50" s="25" t="s">
        <v>123</v>
      </c>
      <c r="Z50" s="26" t="str">
        <f>IF(OR(H26="A7",H26="A7-100T"),"0x01000800",IF(H26="EFX","0xF8120800","0x77601650"))</f>
        <v>0x01000800</v>
      </c>
      <c r="AA50" s="25" t="s">
        <v>124</v>
      </c>
      <c r="AB50" s="55" t="str">
        <f>"0x"&amp;DEC2HEX(IF(OR(H26="A7",H26="A7-100T",H26="EFX"),IF(I37="Ultra Short",50,U34),IF(I37="Ultra Short",54,U33)))</f>
        <v>0x28F</v>
      </c>
      <c r="AC50" s="105" t="s">
        <v>612</v>
      </c>
      <c r="AD50" s="104"/>
    </row>
    <row r="51" s="1" customFormat="1" ht="27" spans="6:30">
      <c r="F51" s="32" t="s">
        <v>171</v>
      </c>
      <c r="G51" s="29"/>
      <c r="H51" s="29"/>
      <c r="I51" s="29"/>
      <c r="J51" s="57"/>
      <c r="L51" s="47" t="s">
        <v>475</v>
      </c>
      <c r="M51" s="24"/>
      <c r="N51" s="24"/>
      <c r="O51" s="24"/>
      <c r="P51" s="48"/>
      <c r="R51" s="82" t="s">
        <v>242</v>
      </c>
      <c r="S51" s="74" t="s">
        <v>243</v>
      </c>
      <c r="T51" s="74" t="s">
        <v>239</v>
      </c>
      <c r="U51" s="75">
        <v>8</v>
      </c>
      <c r="V51" s="83" t="s">
        <v>182</v>
      </c>
      <c r="X51" s="30" t="s">
        <v>419</v>
      </c>
      <c r="Y51" s="25" t="s">
        <v>129</v>
      </c>
      <c r="Z51" s="26" t="str">
        <f>IF(OR(H26="A7",H26="A7-100T"),"0x01000804",IF(H26="EFX","0xF8120804","0x77601654"))</f>
        <v>0x01000804</v>
      </c>
      <c r="AA51" s="25" t="s">
        <v>130</v>
      </c>
      <c r="AB51" s="54" t="str">
        <f>"0x"&amp;DEC2HEX(O40)</f>
        <v>0x0</v>
      </c>
      <c r="AC51" s="105"/>
      <c r="AD51" s="104"/>
    </row>
    <row r="52" s="1" customFormat="1" ht="68.25" spans="6:30">
      <c r="F52" s="25" t="s">
        <v>448</v>
      </c>
      <c r="G52" s="25" t="s">
        <v>191</v>
      </c>
      <c r="H52" s="33">
        <v>0</v>
      </c>
      <c r="I52" s="52">
        <v>0</v>
      </c>
      <c r="J52" s="53" t="s">
        <v>85</v>
      </c>
      <c r="L52" s="66" t="s">
        <v>480</v>
      </c>
      <c r="M52" s="67" t="s">
        <v>475</v>
      </c>
      <c r="N52" s="68" t="s">
        <v>481</v>
      </c>
      <c r="O52" s="69">
        <f>IF((100-ROUNDDOWN(10*U72/(125000*I56),0)-1)&lt;0,0,(100-ROUNDDOWN(10*U72/(125000*I56),0)-1))</f>
        <v>99</v>
      </c>
      <c r="P52" s="70" t="s">
        <v>468</v>
      </c>
      <c r="R52" s="82" t="s">
        <v>245</v>
      </c>
      <c r="S52" s="74" t="s">
        <v>246</v>
      </c>
      <c r="T52" s="74" t="s">
        <v>247</v>
      </c>
      <c r="U52" s="75">
        <v>4</v>
      </c>
      <c r="V52" s="83" t="s">
        <v>182</v>
      </c>
      <c r="X52" s="91" t="s">
        <v>416</v>
      </c>
      <c r="Y52" s="106" t="s">
        <v>139</v>
      </c>
      <c r="Z52" s="107" t="str">
        <f>IF(OR(H26="A7",H26="A7-100T"),"0x01000808",IF(H26="EFX","0xF8120808","0x77601658"))</f>
        <v>0x01000808</v>
      </c>
      <c r="AA52" s="106" t="s">
        <v>140</v>
      </c>
      <c r="AB52" s="106" t="str">
        <f>"0x"&amp;DEC2HEX(O39)</f>
        <v>0x2FC</v>
      </c>
      <c r="AC52" s="105"/>
      <c r="AD52" s="104"/>
    </row>
    <row r="53" s="1" customFormat="1" ht="54.75" spans="6:30">
      <c r="F53" s="34" t="s">
        <v>613</v>
      </c>
      <c r="G53" s="35"/>
      <c r="H53" s="35"/>
      <c r="I53" s="35"/>
      <c r="J53" s="71"/>
      <c r="L53" s="47" t="s">
        <v>614</v>
      </c>
      <c r="M53" s="24"/>
      <c r="N53" s="24"/>
      <c r="O53" s="24"/>
      <c r="P53" s="48"/>
      <c r="R53" s="82" t="s">
        <v>250</v>
      </c>
      <c r="S53" s="74" t="s">
        <v>251</v>
      </c>
      <c r="T53" s="74" t="s">
        <v>252</v>
      </c>
      <c r="U53" s="75">
        <v>12</v>
      </c>
      <c r="V53" s="83" t="s">
        <v>182</v>
      </c>
      <c r="X53" s="92" t="s">
        <v>615</v>
      </c>
      <c r="Y53" s="25" t="s">
        <v>616</v>
      </c>
      <c r="Z53" s="26" t="s">
        <v>617</v>
      </c>
      <c r="AA53" s="25" t="s">
        <v>618</v>
      </c>
      <c r="AB53" s="54">
        <f>IF(I35="TriggerWidth",1,0)</f>
        <v>0</v>
      </c>
      <c r="AC53" s="105"/>
      <c r="AD53" s="104"/>
    </row>
    <row r="54" s="1" customFormat="1" ht="54" spans="6:35">
      <c r="F54" s="36" t="s">
        <v>619</v>
      </c>
      <c r="G54" s="37" t="s">
        <v>620</v>
      </c>
      <c r="H54" s="38">
        <v>0</v>
      </c>
      <c r="I54" s="72">
        <v>0</v>
      </c>
      <c r="J54" s="73" t="s">
        <v>85</v>
      </c>
      <c r="L54" s="74" t="s">
        <v>621</v>
      </c>
      <c r="M54" s="74" t="s">
        <v>622</v>
      </c>
      <c r="N54" s="74" t="s">
        <v>623</v>
      </c>
      <c r="O54" s="75">
        <f>MAX(INT(1000*I36/O30),1)</f>
        <v>152</v>
      </c>
      <c r="P54" s="74" t="s">
        <v>109</v>
      </c>
      <c r="R54" s="82" t="s">
        <v>255</v>
      </c>
      <c r="S54" s="25" t="s">
        <v>256</v>
      </c>
      <c r="T54" s="74" t="s">
        <v>257</v>
      </c>
      <c r="U54" s="75">
        <f>U49+U50+U51</f>
        <v>36</v>
      </c>
      <c r="V54" s="83" t="s">
        <v>182</v>
      </c>
      <c r="X54" s="92" t="s">
        <v>624</v>
      </c>
      <c r="Y54" s="25" t="s">
        <v>625</v>
      </c>
      <c r="Z54" s="26" t="s">
        <v>626</v>
      </c>
      <c r="AA54" s="25" t="s">
        <v>627</v>
      </c>
      <c r="AB54" s="54" t="str">
        <f>"0x"&amp;DEC2HEX(O54)</f>
        <v>0x98</v>
      </c>
      <c r="AC54" s="105"/>
      <c r="AD54" s="104"/>
      <c r="AE54" s="40"/>
      <c r="AF54" s="40"/>
      <c r="AG54" s="40"/>
      <c r="AH54" s="40"/>
      <c r="AI54" s="40"/>
    </row>
    <row r="55" s="1" customFormat="1" ht="67.5" spans="6:35">
      <c r="F55" s="24" t="s">
        <v>449</v>
      </c>
      <c r="G55" s="24"/>
      <c r="H55" s="24"/>
      <c r="I55" s="24"/>
      <c r="J55" s="48"/>
      <c r="L55" s="74" t="s">
        <v>628</v>
      </c>
      <c r="M55" s="74" t="s">
        <v>629</v>
      </c>
      <c r="N55" s="74" t="s">
        <v>630</v>
      </c>
      <c r="O55" s="75" t="str">
        <f>IF((I42=1)*(I35="TriggerWidth"),O34+IF(ROUNDUP((1000*I40/O30),0)&gt;O54,ROUNDUP((1000*I40/O30),0)-O54,0),"null")</f>
        <v>null</v>
      </c>
      <c r="P55" s="74" t="s">
        <v>109</v>
      </c>
      <c r="R55" s="82" t="s">
        <v>258</v>
      </c>
      <c r="S55" s="25" t="s">
        <v>259</v>
      </c>
      <c r="T55" s="74" t="s">
        <v>260</v>
      </c>
      <c r="U55" s="75">
        <f>U46+U47+U48+U52</f>
        <v>26</v>
      </c>
      <c r="V55" s="83" t="s">
        <v>182</v>
      </c>
      <c r="X55" s="93" t="s">
        <v>631</v>
      </c>
      <c r="Y55" s="106" t="s">
        <v>632</v>
      </c>
      <c r="Z55" s="106" t="str">
        <f>IF(OR(H26="A7",H26="A7-100T"),"0x0100080c",IF(H26="EFX","0xF812080c","0x7760165c"))</f>
        <v>0x0100080c</v>
      </c>
      <c r="AA55" s="106" t="s">
        <v>151</v>
      </c>
      <c r="AB55" s="106" t="str">
        <f>"0x"&amp;DEC2HEX(MAX(O34,O35,O36,O37))</f>
        <v>0x30D</v>
      </c>
      <c r="AC55" s="105"/>
      <c r="AE55" s="40"/>
      <c r="AF55" s="40"/>
      <c r="AG55" s="40"/>
      <c r="AH55" s="40"/>
      <c r="AI55" s="40"/>
    </row>
    <row r="56" s="1" customFormat="1" ht="67.5" spans="6:31">
      <c r="F56" s="25" t="s">
        <v>329</v>
      </c>
      <c r="G56" s="25" t="s">
        <v>453</v>
      </c>
      <c r="H56" s="33" t="s">
        <v>85</v>
      </c>
      <c r="I56" s="52">
        <f>B19</f>
        <v>1000</v>
      </c>
      <c r="J56" s="53" t="s">
        <v>454</v>
      </c>
      <c r="L56" s="74" t="s">
        <v>633</v>
      </c>
      <c r="M56" s="74" t="s">
        <v>634</v>
      </c>
      <c r="N56" s="74" t="s">
        <v>635</v>
      </c>
      <c r="O56" s="75" t="str">
        <f>IF((I42=1)*(I35="TriggerWidth"),IF(I40&gt;I36,(ROUNDUP((1000*I40/O30),0)*O30+U37)/1000,(ROUNDUP((1000*I36/O30),0)*O30+U37)/1000),"null")</f>
        <v>null</v>
      </c>
      <c r="P56" s="74" t="s">
        <v>82</v>
      </c>
      <c r="R56" s="82" t="s">
        <v>261</v>
      </c>
      <c r="S56" s="74" t="s">
        <v>262</v>
      </c>
      <c r="T56" s="74" t="s">
        <v>263</v>
      </c>
      <c r="U56" s="75">
        <f>64-U48-U52-U54</f>
        <v>10</v>
      </c>
      <c r="V56" s="83" t="s">
        <v>182</v>
      </c>
      <c r="X56" s="93" t="s">
        <v>636</v>
      </c>
      <c r="Y56" s="106" t="s">
        <v>637</v>
      </c>
      <c r="Z56" s="106" t="str">
        <f>IF(OR(H26="A7",H26="A7-100T"),"0x01000848",IF(H26="EFX","0xF8120848","0x77601850"))</f>
        <v>0x01000848</v>
      </c>
      <c r="AA56" s="106" t="s">
        <v>151</v>
      </c>
      <c r="AB56" s="106" t="str">
        <f>"0x"&amp;IF(I43="HighSpeed",IF(I35="TriggerWidth",DEC2HEX(MAX(O34,IF(I54=1,0,O36))),DEC2HEX(MAX(O34,O35,IF(I54=1,0,O36)))),IF(I35="TriggerWidth",DEC2HEX(MAX(O34,IF(I54=1,0,O36),U76)),DEC2HEX(MAX(O34,O35,IF(I54=1,0,O36),U76))))</f>
        <v>0x30D</v>
      </c>
      <c r="AC56" s="105"/>
      <c r="AE56" s="104"/>
    </row>
    <row r="57" s="1" customFormat="1" ht="67.5" spans="6:29">
      <c r="F57" s="25" t="s">
        <v>458</v>
      </c>
      <c r="G57" s="25" t="s">
        <v>33</v>
      </c>
      <c r="H57" s="33">
        <v>1500</v>
      </c>
      <c r="I57" s="52">
        <f t="shared" ref="I57:I61" si="0">B14</f>
        <v>1500</v>
      </c>
      <c r="J57" s="53" t="s">
        <v>182</v>
      </c>
      <c r="R57" s="47" t="s">
        <v>264</v>
      </c>
      <c r="S57" s="24"/>
      <c r="T57" s="24"/>
      <c r="U57" s="24"/>
      <c r="V57" s="48"/>
      <c r="X57" s="93" t="s">
        <v>638</v>
      </c>
      <c r="Y57" s="106" t="s">
        <v>639</v>
      </c>
      <c r="Z57" s="106" t="str">
        <f>IF(OR(H26="A7",H26="A7-100T"),"0x01000844",IF(H26="EFX","0xF8120844","-"))</f>
        <v>0x01000844</v>
      </c>
      <c r="AA57" s="106" t="s">
        <v>151</v>
      </c>
      <c r="AB57" s="106" t="str">
        <f>"0x"&amp;DEC2HEX(MAX(O34,O35))</f>
        <v>0x30D</v>
      </c>
      <c r="AC57" s="105"/>
    </row>
    <row r="58" s="1" customFormat="1" ht="40.5" spans="6:29">
      <c r="F58" s="25" t="str">
        <f>"流通道包间隔(不包括12B最小值的部分) 
范围:0-"&amp;O50</f>
        <v>流通道包间隔(不包括12B最小值的部分) 
范围:0-180000</v>
      </c>
      <c r="G58" s="25" t="s">
        <v>34</v>
      </c>
      <c r="H58" s="33">
        <v>0</v>
      </c>
      <c r="I58" s="52">
        <f t="shared" si="0"/>
        <v>0</v>
      </c>
      <c r="J58" s="53" t="s">
        <v>640</v>
      </c>
      <c r="R58" s="43" t="s">
        <v>49</v>
      </c>
      <c r="S58" s="23" t="s">
        <v>50</v>
      </c>
      <c r="T58" s="23" t="s">
        <v>51</v>
      </c>
      <c r="U58" s="23" t="s">
        <v>62</v>
      </c>
      <c r="V58" s="80" t="s">
        <v>53</v>
      </c>
      <c r="X58" s="94" t="s">
        <v>157</v>
      </c>
      <c r="Y58" s="25" t="s">
        <v>641</v>
      </c>
      <c r="Z58" s="26" t="str">
        <f>IF(OR(H26="A7",H26="A7-100T"),"0x01100000",IF(H26="EFX","0xF8140000","0x77601500"))</f>
        <v>0x01100000</v>
      </c>
      <c r="AA58" s="25" t="s">
        <v>496</v>
      </c>
      <c r="AB58" s="54" t="s">
        <v>497</v>
      </c>
      <c r="AC58" s="105"/>
    </row>
    <row r="59" s="1" customFormat="1" ht="54" spans="6:31">
      <c r="F59" s="25" t="str">
        <f>"预留带宽 
范围:0-"&amp;O52</f>
        <v>预留带宽 
范围:0-99</v>
      </c>
      <c r="G59" s="25" t="s">
        <v>39</v>
      </c>
      <c r="H59" s="33">
        <v>10</v>
      </c>
      <c r="I59" s="52">
        <f>B20</f>
        <v>10</v>
      </c>
      <c r="J59" s="53" t="s">
        <v>468</v>
      </c>
      <c r="R59" s="82" t="s">
        <v>500</v>
      </c>
      <c r="S59" s="25" t="s">
        <v>501</v>
      </c>
      <c r="T59" s="74" t="s">
        <v>266</v>
      </c>
      <c r="U59" s="75">
        <f>36</f>
        <v>36</v>
      </c>
      <c r="V59" s="83" t="s">
        <v>182</v>
      </c>
      <c r="X59" s="94" t="s">
        <v>642</v>
      </c>
      <c r="Y59" s="25" t="s">
        <v>643</v>
      </c>
      <c r="Z59" s="26" t="str">
        <f>IF(OR(H26="A7",H26="A7-100T"),"0x010007f8",IF(H26="EFX","0xF81207f8","0x77601854"))</f>
        <v>0x010007f8</v>
      </c>
      <c r="AA59" s="25" t="s">
        <v>644</v>
      </c>
      <c r="AB59" s="54" t="str">
        <f>"0x"&amp;(IF(I37="Ultra Short",0,1))</f>
        <v>0x1</v>
      </c>
      <c r="AC59" s="105" t="s">
        <v>645</v>
      </c>
      <c r="AE59" s="104"/>
    </row>
    <row r="60" s="1" customFormat="1" ht="121.5" spans="6:31">
      <c r="F60" s="24" t="s">
        <v>244</v>
      </c>
      <c r="G60" s="24"/>
      <c r="H60" s="24"/>
      <c r="I60" s="24"/>
      <c r="J60" s="48"/>
      <c r="R60" s="82" t="s">
        <v>506</v>
      </c>
      <c r="S60" s="25" t="s">
        <v>507</v>
      </c>
      <c r="T60" s="74" t="s">
        <v>268</v>
      </c>
      <c r="U60" s="75">
        <v>10</v>
      </c>
      <c r="V60" s="83" t="s">
        <v>182</v>
      </c>
      <c r="X60" s="94" t="s">
        <v>646</v>
      </c>
      <c r="Y60" s="25" t="s">
        <v>647</v>
      </c>
      <c r="Z60" s="26" t="str">
        <f>IF(OR(H26="A7",H26="A7-100T"),"0x010007fc",IF(H26="EFX","0xF81207fc","0x77601858"))</f>
        <v>0x010007fc</v>
      </c>
      <c r="AA60" s="25" t="s">
        <v>644</v>
      </c>
      <c r="AB60" s="54" t="str">
        <f>"0x"&amp;(IF(I37="Ultra Short",0,1))</f>
        <v>0x1</v>
      </c>
      <c r="AC60" s="105" t="s">
        <v>648</v>
      </c>
      <c r="AE60" s="104"/>
    </row>
    <row r="61" s="1" customFormat="1" ht="27" spans="6:31">
      <c r="F61" s="25" t="s">
        <v>479</v>
      </c>
      <c r="G61" s="25" t="s">
        <v>248</v>
      </c>
      <c r="H61" s="25">
        <v>0</v>
      </c>
      <c r="I61" s="52">
        <f t="shared" si="0"/>
        <v>0</v>
      </c>
      <c r="J61" s="53" t="s">
        <v>85</v>
      </c>
      <c r="R61" s="88" t="s">
        <v>649</v>
      </c>
      <c r="S61" s="26" t="s">
        <v>650</v>
      </c>
      <c r="T61" s="26" t="s">
        <v>651</v>
      </c>
      <c r="U61" s="55">
        <v>48</v>
      </c>
      <c r="V61" s="89" t="s">
        <v>182</v>
      </c>
      <c r="X61" s="93" t="s">
        <v>200</v>
      </c>
      <c r="Y61" s="106" t="s">
        <v>652</v>
      </c>
      <c r="Z61" s="107" t="str">
        <f>IF(OR(H26="A7",H26="A7-100T"),"0x0100084c",IF(H26="EFX","0xF812084c","0x7760185C"))</f>
        <v>0x0100084c</v>
      </c>
      <c r="AA61" s="106" t="s">
        <v>653</v>
      </c>
      <c r="AB61" s="106" t="str">
        <f>"0x"&amp;DEC2HEX(O34)</f>
        <v>0x224</v>
      </c>
      <c r="AC61" s="105" t="s">
        <v>654</v>
      </c>
      <c r="AE61" s="104"/>
    </row>
    <row r="62" s="1" customFormat="1" ht="81" spans="6:31">
      <c r="F62" s="25" t="s">
        <v>244</v>
      </c>
      <c r="G62" s="25" t="s">
        <v>253</v>
      </c>
      <c r="H62" s="25">
        <f>VLOOKUP($H$27,$X$29:$AQ$45,19,FALSE)</f>
        <v>49</v>
      </c>
      <c r="I62" s="52">
        <f>B17</f>
        <v>94.5</v>
      </c>
      <c r="J62" s="53" t="s">
        <v>90</v>
      </c>
      <c r="R62" s="30" t="s">
        <v>196</v>
      </c>
      <c r="S62" s="25" t="s">
        <v>509</v>
      </c>
      <c r="T62" s="25" t="s">
        <v>655</v>
      </c>
      <c r="U62" s="59">
        <f>ROUNDDOWN(I49*I50*IF(I31=8,1,IF(OR(I31="10p",I31="12p"),1.5,2)),0)</f>
        <v>327680</v>
      </c>
      <c r="V62" s="83" t="s">
        <v>182</v>
      </c>
      <c r="X62" s="94" t="s">
        <v>656</v>
      </c>
      <c r="Y62" s="25" t="s">
        <v>657</v>
      </c>
      <c r="Z62" s="26" t="str">
        <f>IF(OR(H26="A7",H26="A7-100T"),"0x01200100",IF(H26="EFX","0xF8160100","0x7760144c"))</f>
        <v>0x01200100</v>
      </c>
      <c r="AA62" s="25" t="s">
        <v>658</v>
      </c>
      <c r="AB62" s="54" t="str">
        <f>"0x"&amp;DEC2HEX(I57-U54)</f>
        <v>0x5B8</v>
      </c>
      <c r="AC62" s="105" t="s">
        <v>659</v>
      </c>
      <c r="AE62" s="104"/>
    </row>
    <row r="63" s="1" customFormat="1" ht="33" customHeight="1" spans="6:31">
      <c r="F63" s="39" t="s">
        <v>660</v>
      </c>
      <c r="G63" s="39"/>
      <c r="H63" s="39"/>
      <c r="I63" s="39"/>
      <c r="J63" s="76"/>
      <c r="K63" s="77" t="s">
        <v>661</v>
      </c>
      <c r="R63" s="82" t="s">
        <v>270</v>
      </c>
      <c r="S63" s="25" t="s">
        <v>511</v>
      </c>
      <c r="T63" s="25" t="s">
        <v>512</v>
      </c>
      <c r="U63" s="95">
        <f>U62+U61*I52</f>
        <v>327680</v>
      </c>
      <c r="V63" s="83" t="s">
        <v>182</v>
      </c>
      <c r="X63" s="94" t="s">
        <v>662</v>
      </c>
      <c r="Y63" s="25" t="s">
        <v>663</v>
      </c>
      <c r="Z63" s="26" t="str">
        <f>IF(OR(H26="A7",H26="A7-100T"),"0x01400080",IF(H26="EFX","0xF81A0080","0x776014c0"))</f>
        <v>0x01400080</v>
      </c>
      <c r="AA63" s="25" t="s">
        <v>664</v>
      </c>
      <c r="AB63" s="54" t="str">
        <f>"0x"&amp;DEC2HEX(IF(H26="EFX",ROUNDUP(I58*50/125,0),I58))</f>
        <v>0x0</v>
      </c>
      <c r="AC63" s="105" t="s">
        <v>665</v>
      </c>
      <c r="AE63" s="104"/>
    </row>
    <row r="64" s="1" customFormat="1" ht="67.5" spans="6:31">
      <c r="F64" s="25" t="s">
        <v>666</v>
      </c>
      <c r="G64" s="25" t="s">
        <v>526</v>
      </c>
      <c r="H64" s="25">
        <v>1</v>
      </c>
      <c r="I64" s="52">
        <f>B8</f>
        <v>1</v>
      </c>
      <c r="J64" s="53" t="s">
        <v>85</v>
      </c>
      <c r="K64" s="77"/>
      <c r="R64" s="82" t="s">
        <v>273</v>
      </c>
      <c r="S64" s="25" t="s">
        <v>274</v>
      </c>
      <c r="T64" s="74" t="s">
        <v>275</v>
      </c>
      <c r="U64" s="96">
        <f>INT(U63/(I57-U54))</f>
        <v>223</v>
      </c>
      <c r="V64" s="83"/>
      <c r="X64" s="92" t="s">
        <v>502</v>
      </c>
      <c r="Y64" s="26" t="s">
        <v>504</v>
      </c>
      <c r="Z64" s="26" t="str">
        <f>IF(OR(H26="A7",H26="A7-100T"),"0x01100010",IF(H26="EFX","0xF8140010","0x7760147c"))</f>
        <v>0x01100010</v>
      </c>
      <c r="AA64" s="26" t="s">
        <v>667</v>
      </c>
      <c r="AB64" s="55" t="str">
        <f>"0x"&amp;DEC2HEX(ROUNDUP((O30-U40/U41*1000000/U42)/(1000000/U42),0))</f>
        <v>0x35C</v>
      </c>
      <c r="AC64" s="108" t="s">
        <v>668</v>
      </c>
      <c r="AE64" s="104"/>
    </row>
    <row r="65" s="1" customFormat="1" ht="54.75" spans="6:29">
      <c r="F65" s="68" t="s">
        <v>669</v>
      </c>
      <c r="G65" s="68" t="s">
        <v>527</v>
      </c>
      <c r="H65" s="68">
        <v>1</v>
      </c>
      <c r="I65" s="123">
        <f>B9</f>
        <v>1</v>
      </c>
      <c r="J65" s="114" t="s">
        <v>85</v>
      </c>
      <c r="R65" s="82" t="s">
        <v>276</v>
      </c>
      <c r="S65" s="25" t="s">
        <v>513</v>
      </c>
      <c r="T65" s="74" t="s">
        <v>278</v>
      </c>
      <c r="U65" s="96">
        <f>U63-(I57-U54)*U64</f>
        <v>1208</v>
      </c>
      <c r="V65" s="83" t="s">
        <v>182</v>
      </c>
      <c r="X65" s="132" t="s">
        <v>670</v>
      </c>
      <c r="Y65" s="139" t="s">
        <v>671</v>
      </c>
      <c r="Z65" s="140" t="s">
        <v>672</v>
      </c>
      <c r="AA65" s="118" t="s">
        <v>673</v>
      </c>
      <c r="AB65" s="141" t="str">
        <f>"0x"&amp;DEC2HEX(U40)</f>
        <v>0x2F0</v>
      </c>
      <c r="AC65" s="142" t="s">
        <v>674</v>
      </c>
    </row>
    <row r="66" s="1" customFormat="1" ht="68.25" spans="6:29">
      <c r="F66" s="115" t="s">
        <v>675</v>
      </c>
      <c r="G66" s="116"/>
      <c r="H66" s="116"/>
      <c r="I66" s="116"/>
      <c r="J66" s="124"/>
      <c r="R66" s="82" t="s">
        <v>279</v>
      </c>
      <c r="S66" s="25" t="s">
        <v>280</v>
      </c>
      <c r="T66" s="74" t="s">
        <v>281</v>
      </c>
      <c r="U66" s="75">
        <f>IF(MOD(U62,(I57-U54))=0,0,1)</f>
        <v>1</v>
      </c>
      <c r="V66" s="83"/>
      <c r="X66" s="132" t="s">
        <v>676</v>
      </c>
      <c r="Y66" s="139" t="s">
        <v>677</v>
      </c>
      <c r="Z66" s="140" t="s">
        <v>678</v>
      </c>
      <c r="AA66" s="118" t="s">
        <v>679</v>
      </c>
      <c r="AB66" s="141" t="str">
        <f>"0x"&amp;DEC2HEX(IF(I43="Standard",0,1))</f>
        <v>0x0</v>
      </c>
      <c r="AC66" s="142" t="s">
        <v>680</v>
      </c>
    </row>
    <row r="67" s="1" customFormat="1" ht="54" spans="6:26">
      <c r="F67" s="85" t="s">
        <v>681</v>
      </c>
      <c r="G67" s="86" t="s">
        <v>682</v>
      </c>
      <c r="H67" s="86">
        <v>1</v>
      </c>
      <c r="I67" s="125">
        <f>B6</f>
        <v>1</v>
      </c>
      <c r="J67" s="126" t="s">
        <v>85</v>
      </c>
      <c r="R67" s="82" t="s">
        <v>282</v>
      </c>
      <c r="S67" s="25" t="s">
        <v>515</v>
      </c>
      <c r="T67" s="74" t="s">
        <v>284</v>
      </c>
      <c r="U67" s="96">
        <f>IF(U65&lt;U56,U56,U65)</f>
        <v>1208</v>
      </c>
      <c r="V67" s="83" t="s">
        <v>182</v>
      </c>
      <c r="X67" s="90"/>
      <c r="Y67" s="104"/>
      <c r="Z67" s="104"/>
    </row>
    <row r="68" s="1" customFormat="1" ht="27.75" spans="6:28">
      <c r="F68" s="117" t="s">
        <v>683</v>
      </c>
      <c r="G68" s="118" t="s">
        <v>684</v>
      </c>
      <c r="H68" s="118">
        <v>1</v>
      </c>
      <c r="I68" s="127">
        <f>B7</f>
        <v>1</v>
      </c>
      <c r="J68" s="128" t="s">
        <v>85</v>
      </c>
      <c r="R68" s="82" t="s">
        <v>285</v>
      </c>
      <c r="S68" s="25" t="s">
        <v>516</v>
      </c>
      <c r="T68" s="74" t="s">
        <v>287</v>
      </c>
      <c r="U68" s="96">
        <f>U55+U54+U59</f>
        <v>98</v>
      </c>
      <c r="V68" s="83" t="s">
        <v>182</v>
      </c>
      <c r="X68" s="90"/>
      <c r="Y68" s="104"/>
      <c r="Z68" s="104"/>
      <c r="AA68" s="104"/>
      <c r="AB68" s="104"/>
    </row>
    <row r="69" s="1" customFormat="1" ht="27" spans="6:28">
      <c r="F69" s="119" t="s">
        <v>358</v>
      </c>
      <c r="G69" s="120"/>
      <c r="H69" s="120"/>
      <c r="I69" s="120"/>
      <c r="J69" s="129"/>
      <c r="R69" s="82" t="s">
        <v>288</v>
      </c>
      <c r="S69" s="25" t="s">
        <v>517</v>
      </c>
      <c r="T69" s="74" t="s">
        <v>518</v>
      </c>
      <c r="U69" s="96">
        <f>U55+U54+U60</f>
        <v>72</v>
      </c>
      <c r="V69" s="83" t="s">
        <v>182</v>
      </c>
      <c r="X69" s="90"/>
      <c r="Y69" s="104"/>
      <c r="AA69" s="104"/>
      <c r="AB69" s="104"/>
    </row>
    <row r="70" s="1" customFormat="1" ht="81.75" spans="6:28">
      <c r="F70" s="121" t="s">
        <v>61</v>
      </c>
      <c r="G70" s="122" t="s">
        <v>508</v>
      </c>
      <c r="H70" s="122"/>
      <c r="I70" s="130">
        <f>O32</f>
        <v>97.7708251857646</v>
      </c>
      <c r="J70" s="131"/>
      <c r="R70" s="82" t="s">
        <v>290</v>
      </c>
      <c r="S70" s="25" t="s">
        <v>519</v>
      </c>
      <c r="T70" s="74" t="s">
        <v>520</v>
      </c>
      <c r="U70" s="96">
        <f>U64*(I57+U55)+U66*(U67+U55+U54)</f>
        <v>341568</v>
      </c>
      <c r="V70" s="83" t="s">
        <v>182</v>
      </c>
      <c r="X70" s="90"/>
      <c r="Y70" s="104"/>
      <c r="Z70" s="104"/>
      <c r="AA70" s="104"/>
      <c r="AB70" s="104"/>
    </row>
    <row r="71" s="1" customFormat="1" ht="54" spans="9:28">
      <c r="I71" s="40"/>
      <c r="J71" s="40"/>
      <c r="R71" s="30" t="s">
        <v>293</v>
      </c>
      <c r="S71" s="25" t="s">
        <v>521</v>
      </c>
      <c r="T71" s="25" t="s">
        <v>522</v>
      </c>
      <c r="U71" s="133">
        <f>(2+U66+U64)*(U53+I58)</f>
        <v>2712</v>
      </c>
      <c r="V71" s="51" t="s">
        <v>182</v>
      </c>
      <c r="X71" s="90"/>
      <c r="Y71" s="104"/>
      <c r="Z71" s="104"/>
      <c r="AA71" s="104"/>
      <c r="AB71" s="104"/>
    </row>
    <row r="72" s="1" customFormat="1" ht="40.5" customHeight="1" spans="9:28">
      <c r="I72" s="40"/>
      <c r="J72" s="40"/>
      <c r="R72" s="30" t="s">
        <v>203</v>
      </c>
      <c r="S72" s="25" t="s">
        <v>523</v>
      </c>
      <c r="T72" s="25" t="s">
        <v>297</v>
      </c>
      <c r="U72" s="59">
        <f>U68+U69+U70+U71</f>
        <v>344450</v>
      </c>
      <c r="V72" s="51" t="s">
        <v>182</v>
      </c>
      <c r="X72" s="90"/>
      <c r="Y72" s="104"/>
      <c r="Z72" s="104"/>
      <c r="AA72" s="104"/>
      <c r="AB72" s="104"/>
    </row>
    <row r="73" s="1" customFormat="1" ht="27" spans="6:22">
      <c r="F73" s="40"/>
      <c r="G73" s="40"/>
      <c r="H73" s="40"/>
      <c r="I73" s="40"/>
      <c r="J73" s="40"/>
      <c r="R73" s="30" t="s">
        <v>298</v>
      </c>
      <c r="S73" s="25" t="s">
        <v>299</v>
      </c>
      <c r="T73" s="25" t="s">
        <v>300</v>
      </c>
      <c r="U73" s="54">
        <f>INT(1000000*I56*(100-I59)/80)</f>
        <v>1125000000</v>
      </c>
      <c r="V73" s="51" t="s">
        <v>524</v>
      </c>
    </row>
    <row r="74" s="1" customFormat="1" ht="67.5" spans="6:22">
      <c r="F74" s="40"/>
      <c r="G74" s="40"/>
      <c r="H74" s="40"/>
      <c r="I74" s="40"/>
      <c r="J74" s="40"/>
      <c r="R74" s="30" t="s">
        <v>302</v>
      </c>
      <c r="S74" s="25" t="s">
        <v>303</v>
      </c>
      <c r="T74" s="25" t="s">
        <v>685</v>
      </c>
      <c r="U74" s="54">
        <f>IF(I37="Ultra Short",ROUNDUP(U72*1000000/U73,0)*10,ROUNDUP(ROUNDUP(U72*1000000000/U73,0)*10/O30,0))</f>
        <v>234</v>
      </c>
      <c r="V74" s="53" t="str">
        <f>IF(I37="Ultra Short","us","line")</f>
        <v>line</v>
      </c>
    </row>
    <row r="75" s="1" customFormat="1" ht="60.95" customHeight="1" spans="18:22">
      <c r="R75" s="134" t="s">
        <v>686</v>
      </c>
      <c r="S75" s="135" t="s">
        <v>687</v>
      </c>
      <c r="T75" s="135" t="s">
        <v>688</v>
      </c>
      <c r="U75" s="136">
        <f>INT(1000000*I56*(100)/80)</f>
        <v>1250000000</v>
      </c>
      <c r="V75" s="137" t="s">
        <v>524</v>
      </c>
    </row>
    <row r="76" s="1" customFormat="1" ht="68.25" spans="18:22">
      <c r="R76" s="138" t="s">
        <v>689</v>
      </c>
      <c r="S76" s="68" t="s">
        <v>690</v>
      </c>
      <c r="T76" s="68" t="s">
        <v>685</v>
      </c>
      <c r="U76" s="69">
        <f>IF(I37="Ultra Short",ROUNDUP(U72*1000000/U75,0)*10,ROUNDUP(ROUNDUP(U72*1000000000/U75,0)*10/O30,0))</f>
        <v>211</v>
      </c>
      <c r="V76" s="114" t="str">
        <f>IF(I29="Ultra Short","us","line")</f>
        <v>line</v>
      </c>
    </row>
    <row r="77" s="1" customFormat="1"/>
    <row r="78" s="1" customFormat="1" spans="18:22">
      <c r="R78" s="40"/>
      <c r="S78" s="40"/>
      <c r="T78" s="40"/>
      <c r="U78" s="40"/>
      <c r="V78" s="40"/>
    </row>
    <row r="79" s="1" customFormat="1" spans="18:22">
      <c r="R79" s="40"/>
      <c r="S79" s="40"/>
      <c r="T79" s="40"/>
      <c r="U79" s="40"/>
      <c r="V79" s="40"/>
    </row>
    <row r="80" s="1" customFormat="1" spans="18:22">
      <c r="R80" s="40"/>
      <c r="S80" s="40"/>
      <c r="T80" s="40"/>
      <c r="U80" s="40"/>
      <c r="V80" s="40"/>
    </row>
    <row r="81" s="1" customFormat="1" spans="18:22">
      <c r="R81" s="40"/>
      <c r="S81" s="40"/>
      <c r="T81" s="40"/>
      <c r="U81" s="40"/>
      <c r="V81" s="40"/>
    </row>
    <row r="82" s="1" customFormat="1" spans="18:22">
      <c r="R82" s="40"/>
      <c r="S82" s="40"/>
      <c r="T82" s="40"/>
      <c r="U82" s="40"/>
      <c r="V82" s="40"/>
    </row>
    <row r="83" s="1" customFormat="1" spans="18:22">
      <c r="R83" s="40"/>
      <c r="S83" s="40"/>
      <c r="T83" s="40"/>
      <c r="U83" s="40"/>
      <c r="V83" s="40"/>
    </row>
    <row r="84" s="1" customFormat="1" ht="12" customHeight="1" spans="18:22">
      <c r="R84" s="40"/>
      <c r="S84" s="40"/>
      <c r="T84" s="40"/>
      <c r="U84" s="40"/>
      <c r="V84" s="40"/>
    </row>
    <row r="85" s="1" customFormat="1" spans="18:22">
      <c r="R85" s="40"/>
      <c r="S85" s="40"/>
      <c r="T85" s="40"/>
      <c r="U85" s="40"/>
      <c r="V85" s="40"/>
    </row>
    <row r="86" s="1" customFormat="1" ht="20.25" customHeight="1" spans="18:22">
      <c r="R86" s="40"/>
      <c r="S86" s="40"/>
      <c r="T86" s="40"/>
      <c r="U86" s="40"/>
      <c r="V86" s="40"/>
    </row>
    <row r="87" s="1" customFormat="1" ht="20.25" customHeight="1" spans="18:22">
      <c r="R87" s="40"/>
      <c r="S87" s="40"/>
      <c r="T87" s="40"/>
      <c r="U87" s="40"/>
      <c r="V87" s="40"/>
    </row>
    <row r="88" s="1" customFormat="1" spans="18:22">
      <c r="R88" s="40"/>
      <c r="S88" s="40"/>
      <c r="T88" s="40"/>
      <c r="U88" s="40"/>
      <c r="V88" s="40"/>
    </row>
    <row r="89" s="1" customFormat="1" spans="18:22">
      <c r="R89" s="40"/>
      <c r="S89" s="40"/>
      <c r="T89" s="40"/>
      <c r="U89" s="40"/>
      <c r="V89" s="40"/>
    </row>
  </sheetData>
  <mergeCells count="34">
    <mergeCell ref="L27:P27"/>
    <mergeCell ref="R27:V27"/>
    <mergeCell ref="X27:AS27"/>
    <mergeCell ref="F28:J28"/>
    <mergeCell ref="R28:V28"/>
    <mergeCell ref="L29:P29"/>
    <mergeCell ref="F30:J30"/>
    <mergeCell ref="F33:J33"/>
    <mergeCell ref="L33:P33"/>
    <mergeCell ref="L38:P38"/>
    <mergeCell ref="F41:J41"/>
    <mergeCell ref="R43:V43"/>
    <mergeCell ref="F44:J44"/>
    <mergeCell ref="L44:P44"/>
    <mergeCell ref="R44:V44"/>
    <mergeCell ref="F46:J46"/>
    <mergeCell ref="X47:AC47"/>
    <mergeCell ref="L48:P48"/>
    <mergeCell ref="X48:AC48"/>
    <mergeCell ref="L49:P49"/>
    <mergeCell ref="F51:J51"/>
    <mergeCell ref="L51:P51"/>
    <mergeCell ref="F53:J53"/>
    <mergeCell ref="L53:P53"/>
    <mergeCell ref="F55:J55"/>
    <mergeCell ref="R57:V57"/>
    <mergeCell ref="F60:J60"/>
    <mergeCell ref="F63:J63"/>
    <mergeCell ref="F66:J66"/>
    <mergeCell ref="F69:J69"/>
    <mergeCell ref="G70:H70"/>
    <mergeCell ref="I70:J70"/>
    <mergeCell ref="K63:K64"/>
    <mergeCell ref="AC50:AC58"/>
  </mergeCells>
  <conditionalFormatting sqref="I31">
    <cfRule type="expression" priority="1">
      <formula>IF(I32=8,8)</formula>
    </cfRule>
  </conditionalFormatting>
  <conditionalFormatting sqref="S127">
    <cfRule type="cellIs" dxfId="3" priority="23" operator="equal">
      <formula>"*"</formula>
    </cfRule>
    <cfRule type="cellIs" dxfId="4" priority="24" operator="equal">
      <formula>"-"</formula>
    </cfRule>
    <cfRule type="cellIs" dxfId="5" priority="25" operator="equal">
      <formula>"-"</formula>
    </cfRule>
    <cfRule type="cellIs" dxfId="4" priority="26" operator="equal">
      <formula>"-"</formula>
    </cfRule>
  </conditionalFormatting>
  <conditionalFormatting sqref="S128">
    <cfRule type="cellIs" dxfId="3" priority="19" operator="equal">
      <formula>"*"</formula>
    </cfRule>
    <cfRule type="cellIs" dxfId="4" priority="20" operator="equal">
      <formula>"-"</formula>
    </cfRule>
    <cfRule type="cellIs" dxfId="5" priority="21" operator="equal">
      <formula>"-"</formula>
    </cfRule>
    <cfRule type="cellIs" dxfId="4" priority="22" operator="equal">
      <formula>"-"</formula>
    </cfRule>
  </conditionalFormatting>
  <conditionalFormatting sqref="S129">
    <cfRule type="cellIs" dxfId="3" priority="15" operator="equal">
      <formula>"*"</formula>
    </cfRule>
    <cfRule type="cellIs" dxfId="4" priority="16" operator="equal">
      <formula>"-"</formula>
    </cfRule>
    <cfRule type="cellIs" dxfId="5" priority="17" operator="equal">
      <formula>"-"</formula>
    </cfRule>
    <cfRule type="cellIs" dxfId="4" priority="18" operator="equal">
      <formula>"-"</formula>
    </cfRule>
  </conditionalFormatting>
  <conditionalFormatting sqref="S130">
    <cfRule type="cellIs" dxfId="3" priority="11" operator="equal">
      <formula>"*"</formula>
    </cfRule>
    <cfRule type="cellIs" dxfId="4" priority="12" operator="equal">
      <formula>"-"</formula>
    </cfRule>
    <cfRule type="cellIs" dxfId="5" priority="13" operator="equal">
      <formula>"-"</formula>
    </cfRule>
    <cfRule type="cellIs" dxfId="4" priority="14" operator="equal">
      <formula>"-"</formula>
    </cfRule>
  </conditionalFormatting>
  <conditionalFormatting sqref="S131">
    <cfRule type="cellIs" dxfId="3" priority="7" operator="equal">
      <formula>"*"</formula>
    </cfRule>
    <cfRule type="cellIs" dxfId="4" priority="8" operator="equal">
      <formula>"-"</formula>
    </cfRule>
    <cfRule type="cellIs" dxfId="5" priority="9" operator="equal">
      <formula>"-"</formula>
    </cfRule>
    <cfRule type="cellIs" dxfId="4" priority="10" operator="equal">
      <formula>"-"</formula>
    </cfRule>
  </conditionalFormatting>
  <conditionalFormatting sqref="S132">
    <cfRule type="cellIs" dxfId="3" priority="3" operator="equal">
      <formula>"*"</formula>
    </cfRule>
    <cfRule type="cellIs" dxfId="4" priority="4" operator="equal">
      <formula>"-"</formula>
    </cfRule>
    <cfRule type="cellIs" dxfId="5" priority="5" operator="equal">
      <formula>"-"</formula>
    </cfRule>
    <cfRule type="cellIs" dxfId="4" priority="6" operator="equal">
      <formula>"-"</formula>
    </cfRule>
  </conditionalFormatting>
  <conditionalFormatting sqref="W137:W142">
    <cfRule type="cellIs" dxfId="6" priority="27" operator="equal">
      <formula>"固件初始化&amp;动态访问"</formula>
    </cfRule>
    <cfRule type="cellIs" dxfId="7" priority="28" operator="equal">
      <formula>"固件初始化"</formula>
    </cfRule>
    <cfRule type="cellIs" dxfId="4" priority="29" operator="equal">
      <formula>"固件动态访问"</formula>
    </cfRule>
  </conditionalFormatting>
  <dataValidations count="38">
    <dataValidation allowBlank="1" showErrorMessage="1" promptTitle="参数变化" prompt="该参数会根据当前生效的水平像素Binning、水平像素抽样变化" sqref="B2"/>
    <dataValidation type="list" allowBlank="1" showInputMessage="1" showErrorMessage="1" sqref="H26">
      <formula1>"S6,A7,EFX,A7-100T"</formula1>
    </dataValidation>
    <dataValidation allowBlank="1" showInputMessage="1" showErrorMessage="1" error="输入范围是64~1024，步长为2" sqref="A1:B1"/>
    <dataValidation type="list" allowBlank="1" showInputMessage="1" showErrorMessage="1" sqref="B19 I56">
      <formula1>"1000,100"</formula1>
    </dataValidation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输入数值非法" error="The input range is 2 to the maximum image height, with a step size of 2." sqref="B5">
      <formula1>AND((B5&lt;=B3),(B5&gt;=2),(MOD(B5,2)=0))</formula1>
    </dataValidation>
    <dataValidation type="list" allowBlank="1" showInputMessage="1" showErrorMessage="1" errorTitle="超出范围" error="曝光时间的范围是63us-1s" sqref="I37">
      <formula1>"Standard,Ultra Short"</formula1>
    </dataValidation>
    <dataValidation type="custom" allowBlank="1" showInputMessage="1" showErrorMessage="1" errorTitle="输入数值非法" error="The input range is 4 to the maximum image width, with a step size of 4." sqref="B4">
      <formula1>AND((B4&lt;=B2),(B4&gt;=4),(MOD(B4,4)=0))</formula1>
    </dataValidation>
    <dataValidation type="custom" allowBlank="1" showInputMessage="1" showErrorMessage="1" error="The input parameter value is either 1 or 2." sqref="B6 B7 B8 B9">
      <formula1>OR((B6=1),(B6=2))</formula1>
    </dataValidation>
    <dataValidation type="list" allowBlank="1" showInputMessage="1" showErrorMessage="1" errorTitle="超出范围" error="0:关闭&#10;1:打开" sqref="I61">
      <formula1>"0,1"</formula1>
    </dataValidation>
    <dataValidation type="whole" operator="between" allowBlank="1" showInputMessage="1" showErrorMessage="1" errorTitle="超出范围" error="The range of exposure time is 13 microseconds to 15 seconds" sqref="B10">
      <formula1>13</formula1>
      <formula2>15000000</formula2>
    </dataValidation>
    <dataValidation type="list" allowBlank="1" showInputMessage="1" showErrorMessage="1" errorTitle="超出范围" error="Please enter 0 or 1." sqref="B18">
      <formula1>"0,1"</formula1>
    </dataValidation>
    <dataValidation type="whole" operator="between" allowBlank="1" showInputMessage="1" showErrorMessage="1" error="The input range is [0, 5000], with the unit being microseconds (us)." sqref="B11">
      <formula1>0</formula1>
      <formula2>5000</formula2>
    </dataValidation>
    <dataValidation type="list" allowBlank="1" showInputMessage="1" showErrorMessage="1" sqref="B12">
      <formula1>"8,10,10p,12,12p"</formula1>
    </dataValidation>
    <dataValidation type="list" allowBlank="1" showInputMessage="1" showErrorMessage="1" sqref="B13 I32">
      <formula1>"8,10,12"</formula1>
    </dataValidation>
    <dataValidation type="custom" allowBlank="1" showInputMessage="1" showErrorMessage="1" error="The input range is 512 to 8192, with a step size of 4." sqref="B14">
      <formula1>AND((B14&lt;=8192),(B14&gt;=512),(MOD(B14,4)=0))</formula1>
    </dataValidation>
    <dataValidation type="custom" allowBlank="1" showInputMessage="1" showErrorMessage="1" sqref="I57">
      <formula1>AND(MOD(I57,4)=0,I57&gt;=512,I57&lt;=16384)</formula1>
    </dataValidation>
    <dataValidation type="whole" operator="between" allowBlank="1" showInputMessage="1" showErrorMessage="1" error="Please set the value range from 0 to the maximum packet interval." sqref="B15">
      <formula1>0</formula1>
      <formula2>B16</formula2>
    </dataValidation>
    <dataValidation type="custom" allowBlank="1" showInputMessage="1" showErrorMessage="1" error="Please set the value range from 0.1 to 10000.0, with precision up to one decimal place." sqref="B17">
      <formula1>AND(TRUNC(B17,1)=B17,(B17&gt;=0.1),(B17&lt;=10000))</formula1>
    </dataValidation>
    <dataValidation type="whole" operator="between" allowBlank="1" showInputMessage="1" showErrorMessage="1" error="Please set the range from 0 to the maximum reserved bandwidth" sqref="B20">
      <formula1>0</formula1>
      <formula2>B21</formula2>
    </dataValidation>
    <dataValidation type="list" allowBlank="1" showInputMessage="1" showErrorMessage="1" sqref="B22 I34 I52 I54">
      <formula1>"0,1"</formula1>
    </dataValidation>
    <dataValidation type="list" allowBlank="1" showInputMessage="1" showErrorMessage="1" sqref="B23">
      <formula1>"Standard,Ultra Short"</formula1>
    </dataValidation>
    <dataValidation type="list" allowBlank="1" showInputMessage="1" showErrorMessage="1" sqref="H27">
      <formula1>$X$29:$X$37</formula1>
    </dataValidation>
    <dataValidation type="list" allowBlank="1" showInputMessage="1" showErrorMessage="1" errorTitle="位深不可大于像素格式" sqref="I31">
      <formula1>"8,10,10p,12,12p"</formula1>
    </dataValidation>
    <dataValidation type="list" allowBlank="1" showInputMessage="1" showErrorMessage="1" sqref="I35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I36">
      <formula1>INT((O34-U36)*O30/1000)</formula1>
    </dataValidation>
    <dataValidation type="whole" operator="between" allowBlank="1" showInputMessage="1" showErrorMessage="1" errorTitle="输入数值非法" error="最小值64，最大值D13" sqref="I50">
      <formula1>8</formula1>
      <formula2>H50</formula2>
    </dataValidation>
    <dataValidation type="whole" operator="between" allowBlank="1" showInputMessage="1" showErrorMessage="1" errorTitle="超出范围" error="曝光延迟的范围是0-5000us" sqref="I39">
      <formula1>0</formula1>
      <formula2>5000</formula2>
    </dataValidation>
    <dataValidation type="whole" operator="greaterThan" allowBlank="1" showInputMessage="1" showErrorMessage="1" error="触发信号长度需要大于0" sqref="I40">
      <formula1>0</formula1>
    </dataValidation>
    <dataValidation type="list" allowBlank="1" showInputMessage="1" showErrorMessage="1" errorTitle="超出范围" error="曝光时间的范围是20us-1s" sqref="I42">
      <formula1>"0,1"</formula1>
    </dataValidation>
    <dataValidation type="list" allowBlank="1" showInputMessage="1" showErrorMessage="1" errorTitle="超出范围" error="曝光时间的范围是63us-1s" prompt="突发采集模式只能在触发模式下选择" sqref="I43">
      <formula1>"Standard,HighSpeed"</formula1>
    </dataValidation>
    <dataValidation type="whole" operator="between" allowBlank="1" showInputMessage="1" showErrorMessage="1" errorTitle="超出范围" error="触发延时的范围是0-3000000us" sqref="I45">
      <formula1>0</formula1>
      <formula2>3000000</formula2>
    </dataValidation>
    <dataValidation type="whole" operator="between" allowBlank="1" showInputMessage="1" showErrorMessage="1" errorTitle="输入数值非法" error="最小值64，最大值D12" sqref="I49">
      <formula1>8</formula1>
      <formula2>H49</formula2>
    </dataValidation>
    <dataValidation type="whole" operator="between" allowBlank="1" showInputMessage="1" showErrorMessage="1" errorTitle="设置值超出范围" error="包间隔设置值超出范围" sqref="I58">
      <formula1>0</formula1>
      <formula2>O50</formula2>
    </dataValidation>
    <dataValidation type="whole" operator="between" allowBlank="1" showInputMessage="1" showErrorMessage="1" errorTitle="设置值超出范围" error="预留带宽设置值超出范围" sqref="I59">
      <formula1>0</formula1>
      <formula2>O52</formula2>
    </dataValidation>
    <dataValidation type="decimal" operator="between" allowBlank="1" showInputMessage="1" showErrorMessage="1" sqref="I62">
      <formula1>0.1</formula1>
      <formula2>10000</formula2>
    </dataValidation>
    <dataValidation type="list" allowBlank="1" showInputMessage="1" showErrorMessage="1" sqref="F85">
      <formula1>$F$90:$F$93</formula1>
    </dataValidation>
    <dataValidation type="list" allowBlank="1" showInputMessage="1" showErrorMessage="1" sqref="I63:I65 I67:I68">
      <formula1>"1,2"</formula1>
    </dataValidation>
  </dataValidations>
  <pageMargins left="0.75" right="0.75" top="1" bottom="1" header="0.5" footer="0.5"/>
  <headerFooter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4453E2-BC87-4D0E-BF09-3EDB7F2AA655}"/>
</file>

<file path=customXml/itemProps2.xml><?xml version="1.0" encoding="utf-8"?>
<ds:datastoreItem xmlns:ds="http://schemas.openxmlformats.org/officeDocument/2006/customXml" ds:itemID="{5A112A27-7871-43A4-A75B-69E6F3A1A5C3}"/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Revision History</vt:lpstr>
      <vt:lpstr>MARS-1230-9GX-P</vt:lpstr>
      <vt:lpstr>MARS-880-13GX-P</vt:lpstr>
      <vt:lpstr>MARS-3140-3GX-P</vt:lpstr>
      <vt:lpstr>MARS-2622-4GX-P-NIR-ETR</vt:lpstr>
      <vt:lpstr>MARS_138_95GM_P_TN_SWIR</vt:lpstr>
      <vt:lpstr>MARS-033-262GM-P-TN-SWIR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</cp:lastModifiedBy>
  <dcterms:created xsi:type="dcterms:W3CDTF">2016-03-14T05:10:00Z</dcterms:created>
  <dcterms:modified xsi:type="dcterms:W3CDTF">2024-03-11T06:45:42Z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5D87D647D2514631BF589495735380B0</vt:lpwstr>
  </property>
  <property fmtid="{D5CDD505-2E9C-101B-9397-08002B2CF9AE}" pid="3" name="KSOProductBuildVer">
    <vt:lpwstr>2052-11.1.0.14309</vt:lpwstr>
  </property>
</Properties>
</file>