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tcameras.sharepoint.com/sites/Support/Gedeelde documenten/1 Daheng/Frame Rate Calculators/"/>
    </mc:Choice>
  </mc:AlternateContent>
  <xr:revisionPtr revIDLastSave="33" documentId="11_3FBE6FE3BC34D368F492CD13020C03B555EDA3F7" xr6:coauthVersionLast="47" xr6:coauthVersionMax="47" xr10:uidLastSave="{059CABEB-80D9-40E3-9E48-D72C02199908}"/>
  <workbookProtection workbookAlgorithmName="SHA-512" workbookHashValue="sKMW6DKTvbh41RIkF+4gQ+nHt70y0tF4BHPlZHQXmNQIbMD80XTH7vNXyTpBJG1hpcHIJTHBN+WxSoXBwsMNMw==" workbookSaltValue="M9vLrqrBO6IpJiOXzAsBYg==" workbookSpinCount="100000" lockStructure="1"/>
  <bookViews>
    <workbookView xWindow="-120" yWindow="-120" windowWidth="29040" windowHeight="15720" tabRatio="922" firstSheet="27" activeTab="36" xr2:uid="{00000000-000D-0000-FFFF-FFFF00000000}"/>
  </bookViews>
  <sheets>
    <sheet name="Revision History" sheetId="1" r:id="rId1"/>
    <sheet name="MER2-041-436U3X" sheetId="20" r:id="rId2"/>
    <sheet name="MER2-041-528U3X" sheetId="44" r:id="rId3"/>
    <sheet name="MER2-041-608U3X-HS" sheetId="56" r:id="rId4"/>
    <sheet name="ME2L-042-121U3X" sheetId="55" r:id="rId5"/>
    <sheet name="MER2-135-150U3X" sheetId="42" r:id="rId6"/>
    <sheet name="MER2-135-208U3X" sheetId="31" r:id="rId7"/>
    <sheet name="MER2-160-227U3X" sheetId="47" r:id="rId8"/>
    <sheet name="ME2P-160-227U3X-DS16P" sheetId="48" r:id="rId9"/>
    <sheet name="MER2-160-249U3X-HS" sheetId="57" r:id="rId10"/>
    <sheet name="ME2L-161-61U3X" sheetId="26" r:id="rId11"/>
    <sheet name="ME2L-203-76U3X" sheetId="28" r:id="rId12"/>
    <sheet name="ME2L-204-76U3C-F02" sheetId="30" r:id="rId13"/>
    <sheet name="MER2-230-168U3X" sheetId="23" r:id="rId14"/>
    <sheet name="MER2-231-41U3X" sheetId="11" r:id="rId15"/>
    <sheet name="MER2-240-159U3X" sheetId="59" r:id="rId16"/>
    <sheet name="MER2-301-125U3X" sheetId="46" r:id="rId17"/>
    <sheet name="MER2-301-125U3X-HS" sheetId="60" r:id="rId18"/>
    <sheet name="MER2-302-56U3X" sheetId="15" r:id="rId19"/>
    <sheet name="MER2-303-107U3X" sheetId="64" r:id="rId20"/>
    <sheet name="MER2-304-56U3X" sheetId="65" r:id="rId21"/>
    <sheet name="ME2P-501-79U3X" sheetId="61" r:id="rId22"/>
    <sheet name="MER2-502-79U3X" sheetId="2" r:id="rId23"/>
    <sheet name="MER2-502-79U3X-HS" sheetId="53" r:id="rId24"/>
    <sheet name="MER2-503-36U3X（POL）" sheetId="6" r:id="rId25"/>
    <sheet name="ME2L-505-36U3X" sheetId="27" r:id="rId26"/>
    <sheet name="MER2-510-36U3X" sheetId="63" r:id="rId27"/>
    <sheet name="ME2P-530-72U3X" sheetId="62" r:id="rId28"/>
    <sheet name="ME2P-560-36U3X" sheetId="38" r:id="rId29"/>
    <sheet name="ME2S-560-70U3X" sheetId="54" r:id="rId30"/>
    <sheet name="MER2-630-60U3X(W90)" sheetId="13" r:id="rId31"/>
    <sheet name="ME2L-830-22U3X" sheetId="29" r:id="rId32"/>
    <sheet name="ME2P-900-43U3X" sheetId="39" r:id="rId33"/>
    <sheet name="MER2-1220-32U3X(W90)" sheetId="37" r:id="rId34"/>
    <sheet name="ME2P-1230-23U3X" sheetId="17" r:id="rId35"/>
    <sheet name="ME2P-1230-30U3X-HS" sheetId="58" r:id="rId36"/>
    <sheet name="ME2P-1231-32U3X" sheetId="35" r:id="rId37"/>
    <sheet name="ME2S-1260-28U3X" sheetId="52" r:id="rId38"/>
    <sheet name="ME2P-1400-27U3X-6P" sheetId="43" r:id="rId39"/>
    <sheet name="ME2S-1610-24U3X" sheetId="50" r:id="rId40"/>
    <sheet name="ME2P-1840-21U3X" sheetId="32" r:id="rId41"/>
    <sheet name="MER2-2000-19U3X(W90)" sheetId="36" r:id="rId42"/>
    <sheet name="ME2S-2020-19U3X" sheetId="51" r:id="rId43"/>
    <sheet name="ME2S-2440-16U3X" sheetId="49" r:id="rId44"/>
    <sheet name="ME2P-2621-15U3X" sheetId="33" r:id="rId45"/>
    <sheet name="ME2P-2622-15U3X" sheetId="34" r:id="rId4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65" l="1"/>
  <c r="C24" i="65"/>
  <c r="I20" i="65"/>
  <c r="B18" i="65" s="1"/>
  <c r="B16" i="65"/>
  <c r="B17" i="65" s="1"/>
  <c r="I24" i="65" s="1"/>
  <c r="F10" i="65"/>
  <c r="C10" i="65"/>
  <c r="C6" i="65"/>
  <c r="C5" i="65"/>
  <c r="C3" i="65"/>
  <c r="C2" i="65"/>
  <c r="I23" i="65" l="1"/>
  <c r="B19" i="65"/>
  <c r="B15" i="65"/>
  <c r="I22" i="65" s="1"/>
  <c r="I25" i="65"/>
  <c r="B22" i="65" l="1"/>
  <c r="B24" i="65" s="1"/>
  <c r="C4" i="64" l="1"/>
  <c r="C6" i="64" l="1"/>
  <c r="C5" i="64"/>
  <c r="C24" i="64" l="1"/>
  <c r="C10" i="64"/>
  <c r="C3" i="64"/>
  <c r="C2" i="64"/>
  <c r="F10" i="64"/>
  <c r="I20" i="64"/>
  <c r="I23" i="64" l="1"/>
  <c r="I26" i="64"/>
  <c r="B18" i="64"/>
  <c r="B16" i="64"/>
  <c r="B17" i="64" s="1"/>
  <c r="I24" i="64" s="1"/>
  <c r="I25" i="64" l="1"/>
  <c r="B19" i="64"/>
  <c r="B15" i="64"/>
  <c r="I22" i="64" s="1"/>
  <c r="B5" i="63"/>
  <c r="B22" i="64" l="1"/>
  <c r="B24" i="64" s="1"/>
  <c r="I17" i="63"/>
  <c r="B19" i="63" l="1"/>
  <c r="C24" i="63" l="1"/>
  <c r="I23" i="63"/>
  <c r="B17" i="63"/>
  <c r="B18" i="63" s="1"/>
  <c r="C11" i="63"/>
  <c r="C7" i="63"/>
  <c r="C6" i="63"/>
  <c r="C3" i="63"/>
  <c r="C2" i="63"/>
  <c r="I21" i="63" l="1"/>
  <c r="B16" i="63"/>
  <c r="I19" i="63" s="1"/>
  <c r="B20" i="63"/>
  <c r="I20" i="63"/>
  <c r="I22" i="63"/>
  <c r="B24" i="62"/>
  <c r="B27" i="62" s="1"/>
  <c r="B26" i="62" l="1"/>
  <c r="B23" i="63"/>
  <c r="B25" i="63" s="1"/>
  <c r="C2" i="62" l="1"/>
  <c r="C41" i="62"/>
  <c r="C37" i="34" l="1"/>
  <c r="B30" i="34"/>
  <c r="B31" i="34" s="1"/>
  <c r="B32" i="34" s="1"/>
  <c r="B27" i="34"/>
  <c r="B28" i="34" s="1"/>
  <c r="B22" i="34"/>
  <c r="B21" i="34"/>
  <c r="B20" i="34"/>
  <c r="H15" i="34"/>
  <c r="G15" i="34"/>
  <c r="B14" i="34"/>
  <c r="H13" i="34"/>
  <c r="J12" i="34" s="1"/>
  <c r="G13" i="34"/>
  <c r="I13" i="34" s="1"/>
  <c r="H12" i="34"/>
  <c r="J11" i="34" s="1"/>
  <c r="G12" i="34"/>
  <c r="I12" i="34" s="1"/>
  <c r="H11" i="34"/>
  <c r="J10" i="34" s="1"/>
  <c r="G11" i="34"/>
  <c r="I11" i="34" s="1"/>
  <c r="H7" i="34"/>
  <c r="G7" i="34"/>
  <c r="C7" i="34"/>
  <c r="C6" i="34"/>
  <c r="H5" i="34"/>
  <c r="J5" i="34" s="1"/>
  <c r="G5" i="34"/>
  <c r="I5" i="34" s="1"/>
  <c r="C5" i="34"/>
  <c r="H4" i="34"/>
  <c r="J4" i="34" s="1"/>
  <c r="G4" i="34"/>
  <c r="I4" i="34" s="1"/>
  <c r="C4" i="34"/>
  <c r="I3" i="34"/>
  <c r="H3" i="34"/>
  <c r="J3" i="34" s="1"/>
  <c r="G3" i="34"/>
  <c r="C3" i="34"/>
  <c r="C2" i="34"/>
  <c r="C37" i="33"/>
  <c r="B30" i="33"/>
  <c r="B31" i="33" s="1"/>
  <c r="B32" i="33" s="1"/>
  <c r="B27" i="33"/>
  <c r="B28" i="33" s="1"/>
  <c r="B22" i="33"/>
  <c r="H15" i="33"/>
  <c r="G15" i="33"/>
  <c r="B14" i="33"/>
  <c r="B21" i="33" s="1"/>
  <c r="B20" i="33" s="1"/>
  <c r="H13" i="33"/>
  <c r="G13" i="33"/>
  <c r="I13" i="33" s="1"/>
  <c r="J12" i="33"/>
  <c r="H12" i="33"/>
  <c r="J11" i="33" s="1"/>
  <c r="G12" i="33"/>
  <c r="I12" i="33" s="1"/>
  <c r="H11" i="33"/>
  <c r="J10" i="33" s="1"/>
  <c r="G11" i="33"/>
  <c r="I11" i="33" s="1"/>
  <c r="H7" i="33"/>
  <c r="G7" i="33"/>
  <c r="C7" i="33"/>
  <c r="C6" i="33"/>
  <c r="H5" i="33"/>
  <c r="J5" i="33" s="1"/>
  <c r="G5" i="33"/>
  <c r="I5" i="33" s="1"/>
  <c r="C5" i="33"/>
  <c r="H4" i="33"/>
  <c r="J4" i="33" s="1"/>
  <c r="G4" i="33"/>
  <c r="I4" i="33" s="1"/>
  <c r="C4" i="33"/>
  <c r="J3" i="33"/>
  <c r="H3" i="33"/>
  <c r="G3" i="33"/>
  <c r="I3" i="33" s="1"/>
  <c r="C3" i="33"/>
  <c r="C2" i="33"/>
  <c r="I18" i="49"/>
  <c r="B19" i="49" s="1"/>
  <c r="B13" i="49" s="1"/>
  <c r="I19" i="49" s="1"/>
  <c r="B18" i="49"/>
  <c r="B17" i="49"/>
  <c r="H11" i="49"/>
  <c r="J11" i="49" s="1"/>
  <c r="G11" i="49"/>
  <c r="I11" i="49" s="1"/>
  <c r="H10" i="49"/>
  <c r="J10" i="49" s="1"/>
  <c r="G10" i="49"/>
  <c r="I10" i="49" s="1"/>
  <c r="C9" i="49"/>
  <c r="C7" i="49"/>
  <c r="C6" i="49"/>
  <c r="H5" i="49"/>
  <c r="J5" i="49" s="1"/>
  <c r="G5" i="49"/>
  <c r="I5" i="49" s="1"/>
  <c r="C5" i="49"/>
  <c r="I4" i="49"/>
  <c r="H4" i="49"/>
  <c r="J4" i="49" s="1"/>
  <c r="G4" i="49"/>
  <c r="C4" i="49"/>
  <c r="H3" i="49"/>
  <c r="J3" i="49" s="1"/>
  <c r="G3" i="49"/>
  <c r="I3" i="49" s="1"/>
  <c r="C3" i="49"/>
  <c r="C2" i="49"/>
  <c r="C25" i="51"/>
  <c r="I18" i="51"/>
  <c r="B19" i="51" s="1"/>
  <c r="B17" i="51"/>
  <c r="B18" i="51" s="1"/>
  <c r="I21" i="51" s="1"/>
  <c r="H11" i="51"/>
  <c r="J11" i="51" s="1"/>
  <c r="G11" i="51"/>
  <c r="I11" i="51" s="1"/>
  <c r="H10" i="51"/>
  <c r="J10" i="51" s="1"/>
  <c r="G10" i="51"/>
  <c r="I10" i="51" s="1"/>
  <c r="C9" i="51"/>
  <c r="C7" i="51"/>
  <c r="C6" i="51"/>
  <c r="H5" i="51"/>
  <c r="J5" i="51" s="1"/>
  <c r="G5" i="51"/>
  <c r="I5" i="51" s="1"/>
  <c r="C5" i="51"/>
  <c r="H4" i="51"/>
  <c r="J4" i="51" s="1"/>
  <c r="G4" i="51"/>
  <c r="I4" i="51" s="1"/>
  <c r="C4" i="51"/>
  <c r="H3" i="51"/>
  <c r="J3" i="51" s="1"/>
  <c r="G3" i="51"/>
  <c r="I3" i="51" s="1"/>
  <c r="C3" i="51"/>
  <c r="C2" i="51"/>
  <c r="C22" i="36"/>
  <c r="B16" i="36"/>
  <c r="N15" i="36"/>
  <c r="B17" i="36" s="1"/>
  <c r="N21" i="36" s="1"/>
  <c r="N14" i="36"/>
  <c r="H12" i="36"/>
  <c r="G12" i="36"/>
  <c r="H11" i="36"/>
  <c r="G11" i="36"/>
  <c r="H10" i="36"/>
  <c r="G10" i="36"/>
  <c r="N8" i="36"/>
  <c r="N18" i="36" s="1"/>
  <c r="N6" i="36"/>
  <c r="N17" i="36" s="1"/>
  <c r="H5" i="36"/>
  <c r="G5" i="36"/>
  <c r="C5" i="36"/>
  <c r="H4" i="36"/>
  <c r="G4" i="36"/>
  <c r="C4" i="36"/>
  <c r="N3" i="36"/>
  <c r="H3" i="36"/>
  <c r="G3" i="36"/>
  <c r="C3" i="36"/>
  <c r="C2" i="36"/>
  <c r="C37" i="32"/>
  <c r="B30" i="32"/>
  <c r="B31" i="32" s="1"/>
  <c r="B32" i="32" s="1"/>
  <c r="B27" i="32"/>
  <c r="B28" i="32" s="1"/>
  <c r="B24" i="32"/>
  <c r="B23" i="32"/>
  <c r="B22" i="32"/>
  <c r="H15" i="32"/>
  <c r="G15" i="32"/>
  <c r="B14" i="32"/>
  <c r="B21" i="32" s="1"/>
  <c r="H13" i="32"/>
  <c r="G13" i="32"/>
  <c r="I13" i="32" s="1"/>
  <c r="J12" i="32"/>
  <c r="H12" i="32"/>
  <c r="G12" i="32"/>
  <c r="I12" i="32" s="1"/>
  <c r="J11" i="32"/>
  <c r="H11" i="32"/>
  <c r="G11" i="32"/>
  <c r="I11" i="32" s="1"/>
  <c r="J10" i="32"/>
  <c r="H7" i="32"/>
  <c r="G7" i="32"/>
  <c r="C7" i="32"/>
  <c r="C6" i="32"/>
  <c r="H5" i="32"/>
  <c r="J5" i="32" s="1"/>
  <c r="G5" i="32"/>
  <c r="I5" i="32" s="1"/>
  <c r="C5" i="32"/>
  <c r="H4" i="32"/>
  <c r="J4" i="32" s="1"/>
  <c r="G4" i="32"/>
  <c r="I4" i="32" s="1"/>
  <c r="C4" i="32"/>
  <c r="H3" i="32"/>
  <c r="J3" i="32" s="1"/>
  <c r="G3" i="32"/>
  <c r="I3" i="32" s="1"/>
  <c r="C3" i="32"/>
  <c r="C2" i="32"/>
  <c r="I18" i="50"/>
  <c r="B19" i="50" s="1"/>
  <c r="B17" i="50"/>
  <c r="B18" i="50" s="1"/>
  <c r="I21" i="50" s="1"/>
  <c r="H11" i="50"/>
  <c r="J11" i="50" s="1"/>
  <c r="G11" i="50"/>
  <c r="C25" i="50" s="1"/>
  <c r="H10" i="50"/>
  <c r="J10" i="50" s="1"/>
  <c r="G10" i="50"/>
  <c r="I10" i="50" s="1"/>
  <c r="C9" i="50"/>
  <c r="C7" i="50"/>
  <c r="C6" i="50"/>
  <c r="H5" i="50"/>
  <c r="J5" i="50" s="1"/>
  <c r="G5" i="50"/>
  <c r="I5" i="50" s="1"/>
  <c r="C5" i="50"/>
  <c r="H4" i="50"/>
  <c r="J4" i="50" s="1"/>
  <c r="G4" i="50"/>
  <c r="I4" i="50" s="1"/>
  <c r="C4" i="50"/>
  <c r="H3" i="50"/>
  <c r="J3" i="50" s="1"/>
  <c r="G3" i="50"/>
  <c r="I3" i="50" s="1"/>
  <c r="C3" i="50"/>
  <c r="C2" i="50"/>
  <c r="C37" i="43"/>
  <c r="B31" i="43"/>
  <c r="B32" i="43" s="1"/>
  <c r="B30" i="43"/>
  <c r="B27" i="43"/>
  <c r="B28" i="43" s="1"/>
  <c r="B23" i="43"/>
  <c r="B24" i="43" s="1"/>
  <c r="B22" i="43"/>
  <c r="B21" i="43"/>
  <c r="B20" i="43"/>
  <c r="H15" i="43"/>
  <c r="G15" i="43"/>
  <c r="B14" i="43"/>
  <c r="H13" i="43"/>
  <c r="J12" i="43" s="1"/>
  <c r="G13" i="43"/>
  <c r="I13" i="43" s="1"/>
  <c r="H12" i="43"/>
  <c r="J11" i="43" s="1"/>
  <c r="G12" i="43"/>
  <c r="I12" i="43" s="1"/>
  <c r="H11" i="43"/>
  <c r="J10" i="43" s="1"/>
  <c r="G11" i="43"/>
  <c r="I11" i="43" s="1"/>
  <c r="H7" i="43"/>
  <c r="G7" i="43"/>
  <c r="C7" i="43"/>
  <c r="C6" i="43"/>
  <c r="J5" i="43"/>
  <c r="H5" i="43"/>
  <c r="G5" i="43"/>
  <c r="I5" i="43" s="1"/>
  <c r="C5" i="43"/>
  <c r="H4" i="43"/>
  <c r="J4" i="43" s="1"/>
  <c r="G4" i="43"/>
  <c r="I4" i="43" s="1"/>
  <c r="C4" i="43"/>
  <c r="H3" i="43"/>
  <c r="J3" i="43" s="1"/>
  <c r="G3" i="43"/>
  <c r="I3" i="43" s="1"/>
  <c r="C3" i="43"/>
  <c r="C2" i="43"/>
  <c r="I20" i="52"/>
  <c r="B17" i="52" s="1"/>
  <c r="J17" i="52"/>
  <c r="C9" i="52" s="1"/>
  <c r="H17" i="52"/>
  <c r="G17" i="52"/>
  <c r="J16" i="52"/>
  <c r="H16" i="52"/>
  <c r="G16" i="52"/>
  <c r="B15" i="52"/>
  <c r="B16" i="52" s="1"/>
  <c r="G13" i="52"/>
  <c r="H11" i="52"/>
  <c r="J11" i="52" s="1"/>
  <c r="G11" i="52"/>
  <c r="I11" i="52" s="1"/>
  <c r="H10" i="52"/>
  <c r="H13" i="52" s="1"/>
  <c r="G10" i="52"/>
  <c r="I10" i="52" s="1"/>
  <c r="C7" i="52"/>
  <c r="C6" i="52"/>
  <c r="J5" i="52"/>
  <c r="H5" i="52"/>
  <c r="G5" i="52"/>
  <c r="I5" i="52" s="1"/>
  <c r="C5" i="52"/>
  <c r="H4" i="52"/>
  <c r="J4" i="52" s="1"/>
  <c r="G4" i="52"/>
  <c r="I4" i="52" s="1"/>
  <c r="C4" i="52"/>
  <c r="H3" i="52"/>
  <c r="J3" i="52" s="1"/>
  <c r="G3" i="52"/>
  <c r="I3" i="52" s="1"/>
  <c r="I27" i="35"/>
  <c r="I22" i="35"/>
  <c r="B18" i="35" s="1"/>
  <c r="C22" i="35"/>
  <c r="B16" i="35"/>
  <c r="B17" i="35" s="1"/>
  <c r="I25" i="35" s="1"/>
  <c r="C13" i="35"/>
  <c r="C10" i="35"/>
  <c r="G9" i="35"/>
  <c r="C8" i="35"/>
  <c r="C7" i="35"/>
  <c r="C6" i="35"/>
  <c r="C5" i="35"/>
  <c r="C4" i="35"/>
  <c r="C3" i="35"/>
  <c r="C2" i="35"/>
  <c r="I22" i="58"/>
  <c r="C21" i="58"/>
  <c r="B15" i="58"/>
  <c r="I20" i="58" s="1"/>
  <c r="B13" i="58"/>
  <c r="B14" i="58" s="1"/>
  <c r="I21" i="58" s="1"/>
  <c r="C9" i="58"/>
  <c r="C7" i="58"/>
  <c r="C6" i="58"/>
  <c r="C5" i="58"/>
  <c r="C4" i="58"/>
  <c r="C3" i="58"/>
  <c r="C2" i="58"/>
  <c r="C22" i="17"/>
  <c r="B16" i="17"/>
  <c r="I23" i="17" s="1"/>
  <c r="B14" i="17"/>
  <c r="B15" i="17" s="1"/>
  <c r="I22" i="17" s="1"/>
  <c r="B13" i="17"/>
  <c r="I20" i="17" s="1"/>
  <c r="C10" i="17"/>
  <c r="G9" i="17"/>
  <c r="I21" i="17" s="1"/>
  <c r="C8" i="17"/>
  <c r="C7" i="17"/>
  <c r="C6" i="17"/>
  <c r="C5" i="17"/>
  <c r="C4" i="17"/>
  <c r="C3" i="17"/>
  <c r="C2" i="17"/>
  <c r="C22" i="37"/>
  <c r="B16" i="37"/>
  <c r="N15" i="37"/>
  <c r="B17" i="37" s="1"/>
  <c r="N21" i="37" s="1"/>
  <c r="N14" i="37"/>
  <c r="H12" i="37"/>
  <c r="G12" i="37"/>
  <c r="H11" i="37"/>
  <c r="G11" i="37"/>
  <c r="H10" i="37"/>
  <c r="G10" i="37"/>
  <c r="N8" i="37"/>
  <c r="N20" i="37" s="1"/>
  <c r="N6" i="37"/>
  <c r="N17" i="37" s="1"/>
  <c r="H5" i="37"/>
  <c r="G5" i="37"/>
  <c r="C5" i="37"/>
  <c r="H4" i="37"/>
  <c r="G4" i="37"/>
  <c r="C4" i="37"/>
  <c r="N3" i="37"/>
  <c r="H3" i="37"/>
  <c r="G3" i="37"/>
  <c r="C3" i="37"/>
  <c r="C2" i="37"/>
  <c r="B30" i="39"/>
  <c r="B31" i="39" s="1"/>
  <c r="B32" i="39" s="1"/>
  <c r="B27" i="39"/>
  <c r="B28" i="39" s="1"/>
  <c r="B22" i="39"/>
  <c r="H15" i="39"/>
  <c r="G15" i="39"/>
  <c r="B14" i="39"/>
  <c r="B20" i="39" s="1"/>
  <c r="H13" i="39"/>
  <c r="J12" i="39" s="1"/>
  <c r="G13" i="39"/>
  <c r="I13" i="39" s="1"/>
  <c r="H12" i="39"/>
  <c r="J11" i="39" s="1"/>
  <c r="G12" i="39"/>
  <c r="I12" i="39" s="1"/>
  <c r="H11" i="39"/>
  <c r="J10" i="39" s="1"/>
  <c r="G11" i="39"/>
  <c r="I11" i="39" s="1"/>
  <c r="H7" i="39"/>
  <c r="G7" i="39"/>
  <c r="C7" i="39"/>
  <c r="C6" i="39"/>
  <c r="H5" i="39"/>
  <c r="J5" i="39" s="1"/>
  <c r="G5" i="39"/>
  <c r="I5" i="39" s="1"/>
  <c r="C5" i="39"/>
  <c r="H4" i="39"/>
  <c r="J4" i="39" s="1"/>
  <c r="G4" i="39"/>
  <c r="I4" i="39" s="1"/>
  <c r="C4" i="39"/>
  <c r="H3" i="39"/>
  <c r="J3" i="39" s="1"/>
  <c r="G3" i="39"/>
  <c r="I3" i="39" s="1"/>
  <c r="C3" i="39"/>
  <c r="C2" i="39"/>
  <c r="H25" i="29"/>
  <c r="H23" i="29"/>
  <c r="H19" i="29"/>
  <c r="H15" i="29"/>
  <c r="B12" i="29" s="1"/>
  <c r="B11" i="29"/>
  <c r="H8" i="29"/>
  <c r="H18" i="29" s="1"/>
  <c r="H3" i="29"/>
  <c r="H27" i="29" s="1"/>
  <c r="C22" i="13"/>
  <c r="B16" i="13"/>
  <c r="N15" i="13"/>
  <c r="B17" i="13" s="1"/>
  <c r="N8" i="13"/>
  <c r="N21" i="13" s="1"/>
  <c r="N6" i="13"/>
  <c r="N18" i="13" s="1"/>
  <c r="C5" i="13"/>
  <c r="C4" i="13"/>
  <c r="R3" i="13"/>
  <c r="N3" i="13"/>
  <c r="C3" i="13"/>
  <c r="R2" i="13"/>
  <c r="C2" i="13"/>
  <c r="B30" i="54"/>
  <c r="B31" i="54" s="1"/>
  <c r="B32" i="54" s="1"/>
  <c r="B27" i="54"/>
  <c r="B28" i="54" s="1"/>
  <c r="B22" i="54"/>
  <c r="H15" i="54"/>
  <c r="G15" i="54"/>
  <c r="B14" i="54"/>
  <c r="B21" i="54" s="1"/>
  <c r="H13" i="54"/>
  <c r="J12" i="54" s="1"/>
  <c r="G13" i="54"/>
  <c r="I13" i="54" s="1"/>
  <c r="H12" i="54"/>
  <c r="G12" i="54"/>
  <c r="I12" i="54" s="1"/>
  <c r="J11" i="54"/>
  <c r="H11" i="54"/>
  <c r="J10" i="54" s="1"/>
  <c r="G11" i="54"/>
  <c r="I11" i="54" s="1"/>
  <c r="H7" i="54"/>
  <c r="G7" i="54"/>
  <c r="C7" i="54"/>
  <c r="C6" i="54"/>
  <c r="H5" i="54"/>
  <c r="J5" i="54" s="1"/>
  <c r="G5" i="54"/>
  <c r="I5" i="54" s="1"/>
  <c r="C5" i="54"/>
  <c r="H4" i="54"/>
  <c r="J4" i="54" s="1"/>
  <c r="G4" i="54"/>
  <c r="I4" i="54" s="1"/>
  <c r="C4" i="54"/>
  <c r="H3" i="54"/>
  <c r="J3" i="54" s="1"/>
  <c r="G3" i="54"/>
  <c r="I3" i="54" s="1"/>
  <c r="C3" i="54"/>
  <c r="C2" i="54"/>
  <c r="B30" i="38"/>
  <c r="B31" i="38" s="1"/>
  <c r="B32" i="38" s="1"/>
  <c r="B27" i="38"/>
  <c r="B28" i="38" s="1"/>
  <c r="B22" i="38"/>
  <c r="B20" i="38"/>
  <c r="H15" i="38"/>
  <c r="G15" i="38"/>
  <c r="B14" i="38"/>
  <c r="B21" i="38" s="1"/>
  <c r="H13" i="38"/>
  <c r="J13" i="38" s="1"/>
  <c r="G13" i="38"/>
  <c r="I13" i="38" s="1"/>
  <c r="H12" i="38"/>
  <c r="J12" i="38" s="1"/>
  <c r="G12" i="38"/>
  <c r="I12" i="38" s="1"/>
  <c r="J11" i="38"/>
  <c r="H11" i="38"/>
  <c r="G11" i="38"/>
  <c r="I11" i="38" s="1"/>
  <c r="H7" i="38"/>
  <c r="G7" i="38"/>
  <c r="C7" i="38"/>
  <c r="C6" i="38"/>
  <c r="J5" i="38"/>
  <c r="H5" i="38"/>
  <c r="G5" i="38"/>
  <c r="I5" i="38" s="1"/>
  <c r="C5" i="38"/>
  <c r="H4" i="38"/>
  <c r="J4" i="38" s="1"/>
  <c r="G4" i="38"/>
  <c r="I4" i="38" s="1"/>
  <c r="C4" i="38"/>
  <c r="H3" i="38"/>
  <c r="J3" i="38" s="1"/>
  <c r="G3" i="38"/>
  <c r="I3" i="38" s="1"/>
  <c r="C3" i="38"/>
  <c r="C2" i="38"/>
  <c r="B35" i="62"/>
  <c r="B25" i="62"/>
  <c r="H12" i="62"/>
  <c r="G12" i="62"/>
  <c r="B12" i="62"/>
  <c r="B36" i="62" s="1"/>
  <c r="G9" i="62"/>
  <c r="C7" i="62"/>
  <c r="C6" i="62"/>
  <c r="G5" i="62"/>
  <c r="H4" i="62"/>
  <c r="H5" i="62" s="1"/>
  <c r="G4" i="62"/>
  <c r="C3" i="62"/>
  <c r="H25" i="27"/>
  <c r="H23" i="27"/>
  <c r="H19" i="27"/>
  <c r="H15" i="27"/>
  <c r="B12" i="27" s="1"/>
  <c r="B11" i="27"/>
  <c r="H8" i="27"/>
  <c r="H18" i="27" s="1"/>
  <c r="H3" i="27"/>
  <c r="H6" i="27" s="1"/>
  <c r="H17" i="27" s="1"/>
  <c r="C24" i="6"/>
  <c r="I17" i="6"/>
  <c r="B18" i="6" s="1"/>
  <c r="B15" i="6" s="1"/>
  <c r="I19" i="6" s="1"/>
  <c r="B16" i="6"/>
  <c r="B17" i="6" s="1"/>
  <c r="I21" i="6" s="1"/>
  <c r="C11" i="6"/>
  <c r="C7" i="6"/>
  <c r="C6" i="6"/>
  <c r="B5" i="6"/>
  <c r="C3" i="6"/>
  <c r="C2" i="6"/>
  <c r="C24" i="53"/>
  <c r="I23" i="53"/>
  <c r="I17" i="53"/>
  <c r="B19" i="53" s="1"/>
  <c r="B17" i="53"/>
  <c r="B18" i="53" s="1"/>
  <c r="C11" i="53"/>
  <c r="C7" i="53"/>
  <c r="C6" i="53"/>
  <c r="B5" i="53"/>
  <c r="C3" i="53"/>
  <c r="C2" i="53"/>
  <c r="C24" i="2"/>
  <c r="I17" i="2"/>
  <c r="B18" i="2" s="1"/>
  <c r="B16" i="2"/>
  <c r="B17" i="2" s="1"/>
  <c r="C11" i="2"/>
  <c r="C7" i="2"/>
  <c r="C6" i="2"/>
  <c r="B5" i="2"/>
  <c r="I18" i="2" s="1"/>
  <c r="C3" i="2"/>
  <c r="C2" i="2"/>
  <c r="C24" i="61"/>
  <c r="I23" i="61"/>
  <c r="I17" i="61"/>
  <c r="B19" i="61" s="1"/>
  <c r="B17" i="61"/>
  <c r="B18" i="61" s="1"/>
  <c r="I21" i="61" s="1"/>
  <c r="C11" i="61"/>
  <c r="C7" i="61"/>
  <c r="C6" i="61"/>
  <c r="B5" i="61"/>
  <c r="C3" i="61"/>
  <c r="C2" i="61"/>
  <c r="I21" i="15"/>
  <c r="C19" i="15"/>
  <c r="B16" i="15"/>
  <c r="B15" i="15"/>
  <c r="C9" i="15"/>
  <c r="C6" i="15"/>
  <c r="H5" i="15"/>
  <c r="G5" i="15"/>
  <c r="B5" i="15"/>
  <c r="C7" i="15" s="1"/>
  <c r="H4" i="15"/>
  <c r="G4" i="15"/>
  <c r="H3" i="15"/>
  <c r="G3" i="15"/>
  <c r="C3" i="15"/>
  <c r="C2" i="15"/>
  <c r="J26" i="60"/>
  <c r="C23" i="60"/>
  <c r="B16" i="60"/>
  <c r="B17" i="60" s="1"/>
  <c r="J24" i="60" s="1"/>
  <c r="C12" i="60"/>
  <c r="C9" i="60"/>
  <c r="C6" i="60"/>
  <c r="I5" i="60"/>
  <c r="H5" i="60"/>
  <c r="B5" i="60"/>
  <c r="J21" i="60" s="1"/>
  <c r="B18" i="60" s="1"/>
  <c r="I4" i="60"/>
  <c r="H4" i="60"/>
  <c r="I3" i="60"/>
  <c r="H3" i="60"/>
  <c r="C3" i="60"/>
  <c r="C2" i="60"/>
  <c r="C24" i="46"/>
  <c r="J22" i="46"/>
  <c r="B16" i="46"/>
  <c r="B17" i="46" s="1"/>
  <c r="C10" i="46"/>
  <c r="H9" i="46"/>
  <c r="C8" i="46"/>
  <c r="C6" i="46"/>
  <c r="I5" i="46"/>
  <c r="H5" i="46"/>
  <c r="B5" i="46"/>
  <c r="C7" i="46" s="1"/>
  <c r="I4" i="46"/>
  <c r="H4" i="46"/>
  <c r="I3" i="46"/>
  <c r="H3" i="46"/>
  <c r="C3" i="46"/>
  <c r="C2" i="46"/>
  <c r="B31" i="59"/>
  <c r="B32" i="59" s="1"/>
  <c r="B30" i="59"/>
  <c r="B27" i="59"/>
  <c r="B28" i="59" s="1"/>
  <c r="B23" i="59"/>
  <c r="B24" i="59" s="1"/>
  <c r="B22" i="59"/>
  <c r="B14" i="59"/>
  <c r="B21" i="59" s="1"/>
  <c r="H13" i="59"/>
  <c r="J12" i="59" s="1"/>
  <c r="G13" i="59"/>
  <c r="I13" i="59" s="1"/>
  <c r="H12" i="59"/>
  <c r="G12" i="59"/>
  <c r="I12" i="59" s="1"/>
  <c r="J11" i="59"/>
  <c r="H11" i="59"/>
  <c r="G11" i="59"/>
  <c r="I11" i="59" s="1"/>
  <c r="J10" i="59"/>
  <c r="C7" i="59"/>
  <c r="C6" i="59"/>
  <c r="H5" i="59"/>
  <c r="J5" i="59" s="1"/>
  <c r="G5" i="59"/>
  <c r="I5" i="59" s="1"/>
  <c r="C5" i="59"/>
  <c r="H4" i="59"/>
  <c r="J4" i="59" s="1"/>
  <c r="G4" i="59"/>
  <c r="I4" i="59" s="1"/>
  <c r="C4" i="59"/>
  <c r="H3" i="59"/>
  <c r="J3" i="59" s="1"/>
  <c r="G3" i="59"/>
  <c r="I3" i="59" s="1"/>
  <c r="C3" i="59"/>
  <c r="C2" i="59"/>
  <c r="I20" i="11"/>
  <c r="C18" i="11"/>
  <c r="B16" i="11"/>
  <c r="I18" i="11" s="1"/>
  <c r="B14" i="11"/>
  <c r="B15" i="11" s="1"/>
  <c r="I19" i="11" s="1"/>
  <c r="B13" i="11"/>
  <c r="I17" i="11" s="1"/>
  <c r="H10" i="11"/>
  <c r="J10" i="11" s="1"/>
  <c r="G10" i="11"/>
  <c r="I10" i="11" s="1"/>
  <c r="I9" i="11"/>
  <c r="H9" i="11"/>
  <c r="J9" i="11" s="1"/>
  <c r="G9" i="11"/>
  <c r="C7" i="11"/>
  <c r="C6" i="11"/>
  <c r="H4" i="11"/>
  <c r="J4" i="11" s="1"/>
  <c r="G4" i="11"/>
  <c r="I4" i="11" s="1"/>
  <c r="H3" i="11"/>
  <c r="J3" i="11" s="1"/>
  <c r="G3" i="11"/>
  <c r="I3" i="11" s="1"/>
  <c r="C3" i="11"/>
  <c r="C2" i="11"/>
  <c r="C22" i="23"/>
  <c r="I17" i="23"/>
  <c r="B16" i="23"/>
  <c r="I22" i="23" s="1"/>
  <c r="B14" i="23"/>
  <c r="B15" i="23" s="1"/>
  <c r="I21" i="23" s="1"/>
  <c r="J12" i="23"/>
  <c r="H12" i="23"/>
  <c r="G12" i="23"/>
  <c r="I12" i="23" s="1"/>
  <c r="H11" i="23"/>
  <c r="J11" i="23" s="1"/>
  <c r="G11" i="23"/>
  <c r="I11" i="23" s="1"/>
  <c r="J10" i="23"/>
  <c r="H10" i="23"/>
  <c r="G10" i="23"/>
  <c r="I10" i="23" s="1"/>
  <c r="H5" i="23"/>
  <c r="J5" i="23" s="1"/>
  <c r="G5" i="23"/>
  <c r="I5" i="23" s="1"/>
  <c r="C5" i="23"/>
  <c r="H4" i="23"/>
  <c r="J4" i="23" s="1"/>
  <c r="G4" i="23"/>
  <c r="I4" i="23" s="1"/>
  <c r="C4" i="23"/>
  <c r="H3" i="23"/>
  <c r="J3" i="23" s="1"/>
  <c r="G3" i="23"/>
  <c r="I3" i="23" s="1"/>
  <c r="C3" i="23"/>
  <c r="C2" i="23"/>
  <c r="H20" i="30"/>
  <c r="H19" i="30"/>
  <c r="H15" i="30"/>
  <c r="B12" i="30"/>
  <c r="B11" i="30"/>
  <c r="H8" i="30"/>
  <c r="B13" i="30" s="1"/>
  <c r="H3" i="30"/>
  <c r="H6" i="30" s="1"/>
  <c r="H17" i="30" s="1"/>
  <c r="H20" i="28"/>
  <c r="H19" i="28"/>
  <c r="H15" i="28"/>
  <c r="B12" i="28"/>
  <c r="B11" i="28"/>
  <c r="H8" i="28"/>
  <c r="B13" i="28" s="1"/>
  <c r="H3" i="28"/>
  <c r="H6" i="28" s="1"/>
  <c r="H17" i="28" s="1"/>
  <c r="B32" i="26"/>
  <c r="B31" i="26"/>
  <c r="B9" i="26"/>
  <c r="B10" i="26" s="1"/>
  <c r="B30" i="26" s="1"/>
  <c r="B33" i="26" s="1"/>
  <c r="B11" i="26" s="1"/>
  <c r="I23" i="57"/>
  <c r="I17" i="57"/>
  <c r="B17" i="57" s="1"/>
  <c r="B15" i="57"/>
  <c r="B16" i="57" s="1"/>
  <c r="I21" i="57" s="1"/>
  <c r="C11" i="57"/>
  <c r="C9" i="57"/>
  <c r="C6" i="57"/>
  <c r="B5" i="57"/>
  <c r="C22" i="57" s="1"/>
  <c r="H34" i="48"/>
  <c r="H33" i="48"/>
  <c r="G31" i="48"/>
  <c r="I24" i="48"/>
  <c r="B15" i="48"/>
  <c r="B16" i="48" s="1"/>
  <c r="I22" i="48" s="1"/>
  <c r="C12" i="48"/>
  <c r="C10" i="48"/>
  <c r="C7" i="48"/>
  <c r="B6" i="48"/>
  <c r="C23" i="48" s="1"/>
  <c r="C4" i="48"/>
  <c r="C3" i="48"/>
  <c r="G2" i="48"/>
  <c r="I23" i="47"/>
  <c r="I17" i="47"/>
  <c r="B16" i="47"/>
  <c r="B13" i="47" s="1"/>
  <c r="I19" i="47" s="1"/>
  <c r="B14" i="47"/>
  <c r="B15" i="47" s="1"/>
  <c r="I21" i="47" s="1"/>
  <c r="C9" i="47"/>
  <c r="C6" i="47"/>
  <c r="B5" i="47"/>
  <c r="C7" i="47" s="1"/>
  <c r="C3" i="47"/>
  <c r="C2" i="47"/>
  <c r="C19" i="31"/>
  <c r="B16" i="31"/>
  <c r="B15" i="31"/>
  <c r="B13" i="31"/>
  <c r="B14" i="31" s="1"/>
  <c r="B19" i="31" s="1"/>
  <c r="B21" i="31" s="1"/>
  <c r="C7" i="31"/>
  <c r="C6" i="31"/>
  <c r="C5" i="31"/>
  <c r="C4" i="31"/>
  <c r="C3" i="31"/>
  <c r="C2" i="31"/>
  <c r="C19" i="42"/>
  <c r="B15" i="42"/>
  <c r="B16" i="42" s="1"/>
  <c r="B13" i="42"/>
  <c r="B14" i="42" s="1"/>
  <c r="B19" i="42" s="1"/>
  <c r="B21" i="42" s="1"/>
  <c r="C7" i="42"/>
  <c r="C6" i="42"/>
  <c r="C5" i="42"/>
  <c r="C4" i="42"/>
  <c r="C3" i="42"/>
  <c r="C2" i="42"/>
  <c r="B31" i="55"/>
  <c r="B30" i="55"/>
  <c r="B8" i="55"/>
  <c r="B9" i="55" s="1"/>
  <c r="I28" i="56"/>
  <c r="I22" i="56"/>
  <c r="B18" i="56" s="1"/>
  <c r="I27" i="56" s="1"/>
  <c r="C22" i="56"/>
  <c r="B16" i="56"/>
  <c r="B17" i="56" s="1"/>
  <c r="C12" i="56"/>
  <c r="C9" i="56"/>
  <c r="C7" i="56"/>
  <c r="C6" i="56"/>
  <c r="C3" i="56"/>
  <c r="C2" i="56"/>
  <c r="I28" i="44"/>
  <c r="I22" i="44"/>
  <c r="B18" i="44" s="1"/>
  <c r="C22" i="44"/>
  <c r="B16" i="44"/>
  <c r="B17" i="44" s="1"/>
  <c r="I26" i="44" s="1"/>
  <c r="C12" i="44"/>
  <c r="C9" i="44"/>
  <c r="C7" i="44"/>
  <c r="C6" i="44"/>
  <c r="C3" i="44"/>
  <c r="C2" i="44"/>
  <c r="B12" i="20"/>
  <c r="B13" i="20" s="1"/>
  <c r="B10" i="20"/>
  <c r="B11" i="20" s="1"/>
  <c r="B16" i="20" s="1"/>
  <c r="B18" i="20" s="1"/>
  <c r="B9" i="20"/>
  <c r="I20" i="2" l="1"/>
  <c r="B19" i="2"/>
  <c r="N19" i="36"/>
  <c r="I23" i="52"/>
  <c r="I24" i="52"/>
  <c r="B18" i="52"/>
  <c r="B13" i="50"/>
  <c r="I19" i="50" s="1"/>
  <c r="B23" i="50" s="1"/>
  <c r="B25" i="50" s="1"/>
  <c r="I20" i="50"/>
  <c r="B20" i="50"/>
  <c r="I22" i="50"/>
  <c r="J20" i="46"/>
  <c r="I21" i="2"/>
  <c r="B13" i="27"/>
  <c r="B13" i="29"/>
  <c r="I21" i="49"/>
  <c r="B15" i="56"/>
  <c r="I24" i="56" s="1"/>
  <c r="B17" i="47"/>
  <c r="J17" i="46"/>
  <c r="B18" i="46" s="1"/>
  <c r="J21" i="46" s="1"/>
  <c r="B26" i="43"/>
  <c r="I26" i="56"/>
  <c r="C22" i="47"/>
  <c r="C8" i="48"/>
  <c r="H20" i="27"/>
  <c r="N22" i="13"/>
  <c r="B15" i="44"/>
  <c r="I24" i="44" s="1"/>
  <c r="B22" i="44" s="1"/>
  <c r="B24" i="44" s="1"/>
  <c r="I22" i="47"/>
  <c r="H18" i="28"/>
  <c r="H22" i="28" s="1"/>
  <c r="B15" i="28" s="1"/>
  <c r="H18" i="30"/>
  <c r="I11" i="50"/>
  <c r="B18" i="36"/>
  <c r="B10" i="55"/>
  <c r="B7" i="55" s="1"/>
  <c r="I16" i="52"/>
  <c r="B26" i="34"/>
  <c r="I20" i="47"/>
  <c r="B20" i="47" s="1"/>
  <c r="B22" i="47" s="1"/>
  <c r="B21" i="39"/>
  <c r="B26" i="39" s="1"/>
  <c r="C7" i="57"/>
  <c r="B18" i="13"/>
  <c r="H20" i="29"/>
  <c r="N18" i="37"/>
  <c r="I17" i="52"/>
  <c r="B14" i="52" s="1"/>
  <c r="B28" i="62"/>
  <c r="I27" i="44"/>
  <c r="I25" i="44"/>
  <c r="B19" i="44"/>
  <c r="I24" i="35"/>
  <c r="I22" i="61"/>
  <c r="B20" i="61"/>
  <c r="I20" i="61"/>
  <c r="B16" i="61"/>
  <c r="I19" i="61" s="1"/>
  <c r="B25" i="39"/>
  <c r="B15" i="35"/>
  <c r="I26" i="35"/>
  <c r="B14" i="57"/>
  <c r="I19" i="57" s="1"/>
  <c r="I22" i="57"/>
  <c r="I20" i="57"/>
  <c r="B18" i="57"/>
  <c r="J25" i="60"/>
  <c r="J23" i="60"/>
  <c r="B19" i="60"/>
  <c r="B15" i="60"/>
  <c r="J22" i="60" s="1"/>
  <c r="B22" i="60" s="1"/>
  <c r="B24" i="60" s="1"/>
  <c r="B20" i="11"/>
  <c r="B22" i="11" s="1"/>
  <c r="B26" i="33"/>
  <c r="B25" i="33"/>
  <c r="B23" i="33" s="1"/>
  <c r="B24" i="33" s="1"/>
  <c r="B33" i="33" s="1"/>
  <c r="B35" i="33" s="1"/>
  <c r="N22" i="37"/>
  <c r="B20" i="37" s="1"/>
  <c r="N19" i="37"/>
  <c r="H22" i="30"/>
  <c r="B15" i="30" s="1"/>
  <c r="H21" i="30"/>
  <c r="B12" i="26"/>
  <c r="B15" i="26" s="1"/>
  <c r="B17" i="26" s="1"/>
  <c r="B8" i="26"/>
  <c r="H27" i="27"/>
  <c r="I21" i="53"/>
  <c r="H22" i="27"/>
  <c r="B15" i="27" s="1"/>
  <c r="H21" i="27"/>
  <c r="B20" i="17"/>
  <c r="B22" i="17" s="1"/>
  <c r="N22" i="36"/>
  <c r="B20" i="36" s="1"/>
  <c r="B20" i="53"/>
  <c r="B16" i="53"/>
  <c r="I19" i="53" s="1"/>
  <c r="I22" i="53"/>
  <c r="I20" i="53"/>
  <c r="B29" i="55"/>
  <c r="B32" i="55" s="1"/>
  <c r="J19" i="46"/>
  <c r="B15" i="46"/>
  <c r="J18" i="46" s="1"/>
  <c r="B30" i="62"/>
  <c r="B31" i="62"/>
  <c r="B34" i="62" s="1"/>
  <c r="B29" i="62"/>
  <c r="B33" i="62" s="1"/>
  <c r="B25" i="38"/>
  <c r="B26" i="38"/>
  <c r="I21" i="52"/>
  <c r="I20" i="51"/>
  <c r="B20" i="51"/>
  <c r="B13" i="51"/>
  <c r="I19" i="51" s="1"/>
  <c r="I22" i="51"/>
  <c r="B18" i="37"/>
  <c r="B19" i="35"/>
  <c r="B11" i="55"/>
  <c r="B14" i="55" s="1"/>
  <c r="B16" i="55" s="1"/>
  <c r="G30" i="48"/>
  <c r="I18" i="48" s="1"/>
  <c r="B17" i="48" s="1"/>
  <c r="B13" i="23"/>
  <c r="I19" i="23" s="1"/>
  <c r="C7" i="60"/>
  <c r="I16" i="15"/>
  <c r="B17" i="15" s="1"/>
  <c r="I22" i="2"/>
  <c r="J10" i="52"/>
  <c r="B19" i="6"/>
  <c r="H6" i="29"/>
  <c r="H17" i="29" s="1"/>
  <c r="B20" i="49"/>
  <c r="B19" i="56"/>
  <c r="C2" i="57"/>
  <c r="B17" i="23"/>
  <c r="I20" i="6"/>
  <c r="B22" i="6" s="1"/>
  <c r="B24" i="6" s="1"/>
  <c r="B12" i="58"/>
  <c r="I19" i="58" s="1"/>
  <c r="B19" i="58" s="1"/>
  <c r="B21" i="58" s="1"/>
  <c r="B25" i="43"/>
  <c r="B33" i="43" s="1"/>
  <c r="B35" i="43" s="1"/>
  <c r="I20" i="49"/>
  <c r="B23" i="49" s="1"/>
  <c r="B25" i="49" s="1"/>
  <c r="B25" i="34"/>
  <c r="C2" i="48"/>
  <c r="C3" i="57"/>
  <c r="B17" i="11"/>
  <c r="B15" i="2"/>
  <c r="I19" i="2" s="1"/>
  <c r="B22" i="2" s="1"/>
  <c r="B24" i="2" s="1"/>
  <c r="B17" i="17"/>
  <c r="N20" i="36"/>
  <c r="N17" i="13"/>
  <c r="I22" i="49"/>
  <c r="I22" i="6"/>
  <c r="I25" i="56"/>
  <c r="I20" i="23"/>
  <c r="B16" i="58"/>
  <c r="I22" i="52"/>
  <c r="B20" i="32"/>
  <c r="B26" i="32" s="1"/>
  <c r="C25" i="49"/>
  <c r="N19" i="13"/>
  <c r="N23" i="13" s="1"/>
  <c r="B20" i="13" s="1"/>
  <c r="G7" i="52"/>
  <c r="H7" i="52"/>
  <c r="C3" i="52" s="1"/>
  <c r="B20" i="59"/>
  <c r="B25" i="59" s="1"/>
  <c r="B20" i="54"/>
  <c r="B25" i="54" s="1"/>
  <c r="B23" i="38" l="1"/>
  <c r="B24" i="38" s="1"/>
  <c r="B33" i="38" s="1"/>
  <c r="B35" i="38" s="1"/>
  <c r="B19" i="46"/>
  <c r="I23" i="35"/>
  <c r="B22" i="35" s="1"/>
  <c r="B24" i="35" s="1"/>
  <c r="B23" i="39"/>
  <c r="B24" i="39" s="1"/>
  <c r="B33" i="39" s="1"/>
  <c r="B35" i="39" s="1"/>
  <c r="H21" i="28"/>
  <c r="B22" i="56"/>
  <c r="B24" i="56" s="1"/>
  <c r="B23" i="34"/>
  <c r="B24" i="34" s="1"/>
  <c r="B33" i="34" s="1"/>
  <c r="B35" i="34" s="1"/>
  <c r="B19" i="13"/>
  <c r="B22" i="13"/>
  <c r="B26" i="54"/>
  <c r="B23" i="54" s="1"/>
  <c r="B24" i="54" s="1"/>
  <c r="B33" i="54" s="1"/>
  <c r="B35" i="54" s="1"/>
  <c r="B22" i="36"/>
  <c r="B19" i="36"/>
  <c r="B23" i="61"/>
  <c r="B25" i="61" s="1"/>
  <c r="N20" i="13"/>
  <c r="B23" i="51"/>
  <c r="B25" i="51" s="1"/>
  <c r="B25" i="32"/>
  <c r="B33" i="32" s="1"/>
  <c r="B35" i="32" s="1"/>
  <c r="I23" i="48"/>
  <c r="J23" i="48" s="1"/>
  <c r="I21" i="48"/>
  <c r="J21" i="48" s="1"/>
  <c r="B18" i="48"/>
  <c r="B26" i="59"/>
  <c r="B33" i="59" s="1"/>
  <c r="B35" i="59" s="1"/>
  <c r="B22" i="46"/>
  <c r="B24" i="46" s="1"/>
  <c r="H22" i="29"/>
  <c r="B15" i="29" s="1"/>
  <c r="H21" i="29"/>
  <c r="B21" i="52"/>
  <c r="B23" i="52" s="1"/>
  <c r="B14" i="48"/>
  <c r="I20" i="48" s="1"/>
  <c r="J20" i="48" s="1"/>
  <c r="B17" i="27"/>
  <c r="B14" i="27"/>
  <c r="B14" i="15"/>
  <c r="I17" i="15" s="1"/>
  <c r="I20" i="15"/>
  <c r="I18" i="15"/>
  <c r="B18" i="15"/>
  <c r="B17" i="28"/>
  <c r="B14" i="28"/>
  <c r="B17" i="30"/>
  <c r="B14" i="30"/>
  <c r="B23" i="53"/>
  <c r="B25" i="53" s="1"/>
  <c r="B21" i="57"/>
  <c r="B23" i="57" s="1"/>
  <c r="C2" i="52"/>
  <c r="C19" i="52"/>
  <c r="B20" i="23"/>
  <c r="B22" i="23" s="1"/>
  <c r="I19" i="15"/>
  <c r="B22" i="37"/>
  <c r="B19" i="37"/>
  <c r="J22" i="48"/>
  <c r="B21" i="15" l="1"/>
  <c r="B23" i="15" s="1"/>
  <c r="B39" i="62"/>
  <c r="B41" i="62" s="1"/>
  <c r="B21" i="48"/>
  <c r="B23" i="48" s="1"/>
  <c r="B17" i="29"/>
  <c r="B14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H33" authorId="0" shapeId="0" xr:uid="{00000000-0006-0000-2500-000001000000}">
      <text>
        <r>
          <rPr>
            <b/>
            <sz val="9"/>
            <rFont val="宋体"/>
            <family val="3"/>
            <charset val="134"/>
          </rPr>
          <t>备注:</t>
        </r>
        <r>
          <rPr>
            <sz val="9"/>
            <rFont val="宋体"/>
            <family val="3"/>
            <charset val="134"/>
          </rPr>
          <t xml:space="preserve">
最小帧消隐测量值+行暂停+黑行+信息行</t>
        </r>
      </text>
    </comment>
  </commentList>
</comments>
</file>

<file path=xl/sharedStrings.xml><?xml version="1.0" encoding="utf-8"?>
<sst xmlns="http://schemas.openxmlformats.org/spreadsheetml/2006/main" count="2464" uniqueCount="448">
  <si>
    <t>Revision History</t>
  </si>
  <si>
    <t>Version</t>
  </si>
  <si>
    <t>Date</t>
  </si>
  <si>
    <t>Revision</t>
  </si>
  <si>
    <t>v1.00</t>
  </si>
  <si>
    <t>add mer2-502-79u3x</t>
  </si>
  <si>
    <t xml:space="preserve"> </t>
  </si>
  <si>
    <t>v1.01</t>
  </si>
  <si>
    <t>updata mer2-502-79u3x</t>
  </si>
  <si>
    <t>v1.02</t>
  </si>
  <si>
    <t>v1.03</t>
  </si>
  <si>
    <t>add MER2-2000-19U3X</t>
  </si>
  <si>
    <t>v1.04</t>
  </si>
  <si>
    <t>add MER2-503-36U3X</t>
  </si>
  <si>
    <t>v1.05</t>
  </si>
  <si>
    <t>add MER2-1220-32U3X and MER2-301-125U3X</t>
  </si>
  <si>
    <t>v1.06</t>
  </si>
  <si>
    <t>add MER2-231-41U3X</t>
  </si>
  <si>
    <t>v1.07</t>
  </si>
  <si>
    <t>add MER2-630-60U3X</t>
  </si>
  <si>
    <t>v1.08</t>
  </si>
  <si>
    <t>add MER2-302-56U3X</t>
  </si>
  <si>
    <t>v1.09</t>
  </si>
  <si>
    <t>updata MER2-302-56U3X</t>
  </si>
  <si>
    <t>v1.10</t>
  </si>
  <si>
    <t>add ME2P-1230-23U3X</t>
  </si>
  <si>
    <t>v1.11</t>
  </si>
  <si>
    <t>add MER2-041-436U3X and MER2-160-227U3X</t>
  </si>
  <si>
    <t>v1.12</t>
  </si>
  <si>
    <t>add MER2-230-168U3X</t>
  </si>
  <si>
    <t>v1.13</t>
  </si>
  <si>
    <t>add ME2P-2621-15U3X</t>
  </si>
  <si>
    <t>v1.14</t>
  </si>
  <si>
    <t>add me2l-161-61u3x</t>
  </si>
  <si>
    <t>v1.15</t>
  </si>
  <si>
    <t>updata ME2P-2621-15U3X</t>
  </si>
  <si>
    <t>v1.16</t>
  </si>
  <si>
    <t>v1.17</t>
  </si>
  <si>
    <t>v1.18</t>
  </si>
  <si>
    <t>updata MER2-301-125U3X</t>
  </si>
  <si>
    <t>v1.19</t>
  </si>
  <si>
    <t>v1.20</t>
  </si>
  <si>
    <t>updata ME2P-1230-23U3X Decimation</t>
  </si>
  <si>
    <t>v1.21</t>
  </si>
  <si>
    <t>updata MER2-630-60U3X,MER2-2000-19U3X,MER2-1220-32U3X</t>
  </si>
  <si>
    <t>v1.22</t>
  </si>
  <si>
    <t>add ME2P-2621-15U3M NIR</t>
  </si>
  <si>
    <t>v1.23</t>
  </si>
  <si>
    <t>updata MER2-2000-19U3X</t>
  </si>
  <si>
    <t>v1.24</t>
  </si>
  <si>
    <t>updata ME2P-1230-23U3X</t>
  </si>
  <si>
    <t>v1.25</t>
  </si>
  <si>
    <t>update MER2-041-436U3X</t>
  </si>
  <si>
    <t>v1.26</t>
  </si>
  <si>
    <t>v1.27</t>
  </si>
  <si>
    <t>add ME2L-203-76U3x、ME2L-505-36U3X、ME2L-830-22U3x</t>
  </si>
  <si>
    <t>v1.28</t>
  </si>
  <si>
    <t>Change the frame blanking of the ME2L-505-36U3 camera to 48</t>
  </si>
  <si>
    <t>v1.29</t>
  </si>
  <si>
    <t>add MER2-503-36U3M POL</t>
  </si>
  <si>
    <t>v1.30</t>
  </si>
  <si>
    <t>Change SHS1_min of the ME2L-203-76U3x camera to 5</t>
  </si>
  <si>
    <t>v1.31</t>
  </si>
  <si>
    <t>add ME2P-2621-15U3X-G2</t>
  </si>
  <si>
    <t>v1.32</t>
  </si>
  <si>
    <t>add ME2L-204-76U3C-F02</t>
  </si>
  <si>
    <t>v1.33</t>
  </si>
  <si>
    <t>add MER2-135-208U3X</t>
  </si>
  <si>
    <t>v1.34</t>
  </si>
  <si>
    <t>updata ME2L-161-61U3X</t>
  </si>
  <si>
    <t>v1.35</t>
  </si>
  <si>
    <t>updata MER2-502-79U3X</t>
  </si>
  <si>
    <t>v1.36</t>
  </si>
  <si>
    <t>add ME2P-1840-21U3X</t>
  </si>
  <si>
    <t>v1.37</t>
  </si>
  <si>
    <t>update ME2P-1840-21U3X</t>
  </si>
  <si>
    <t>v1.38</t>
  </si>
  <si>
    <t>update ME2P-2621-15U3X</t>
  </si>
  <si>
    <t>v1.39</t>
  </si>
  <si>
    <t>v1.40</t>
  </si>
  <si>
    <t>update ME2P-2621-15U3X，delete “MaxUSBControllerThroughput”</t>
  </si>
  <si>
    <t>v1.41</t>
  </si>
  <si>
    <t>update ME2P-1231-32U3X</t>
  </si>
  <si>
    <t>v1.42</t>
  </si>
  <si>
    <t>update ME2P-1230-23U3X</t>
  </si>
  <si>
    <t>v1.43</t>
  </si>
  <si>
    <t>delete MaxUSBControllerThroughput(Bps)</t>
  </si>
  <si>
    <t>v1.44</t>
  </si>
  <si>
    <t>v1.45</t>
  </si>
  <si>
    <t>updata MER2-231-41u3x default exposure time</t>
  </si>
  <si>
    <t>v1.46</t>
  </si>
  <si>
    <t>update MER2-630-60U3X</t>
  </si>
  <si>
    <t>v1.47</t>
  </si>
  <si>
    <t>v1.48</t>
  </si>
  <si>
    <t>update MER2-503-36U3X</t>
  </si>
  <si>
    <t>v1.49</t>
  </si>
  <si>
    <t>update MER2-2000-19U3X</t>
  </si>
  <si>
    <t>v1.50</t>
  </si>
  <si>
    <t>update MER2-1220-32U3X</t>
  </si>
  <si>
    <t>v1.51</t>
  </si>
  <si>
    <t>v1.52</t>
  </si>
  <si>
    <t>update ME2P-560-45U3X</t>
  </si>
  <si>
    <t>v1.53</t>
  </si>
  <si>
    <t>update MER2-160-227U3X</t>
  </si>
  <si>
    <t>v1.54</t>
  </si>
  <si>
    <t>update ME2P-560-45U3X to ME2P-560-36U3X</t>
  </si>
  <si>
    <t>v1.55</t>
  </si>
  <si>
    <t>update ME2P-900-43U3X</t>
  </si>
  <si>
    <t>v1.56</t>
  </si>
  <si>
    <t>update MER2-135-150U3X</t>
  </si>
  <si>
    <t>v1.57</t>
  </si>
  <si>
    <t>update MER2-230-168U3X</t>
  </si>
  <si>
    <t>v1.58</t>
  </si>
  <si>
    <t>update ME2P-1400-27U3X-6P</t>
  </si>
  <si>
    <t>v1.59</t>
  </si>
  <si>
    <t>add MER2-041-528U3X</t>
  </si>
  <si>
    <t>v1.60</t>
  </si>
  <si>
    <t>add MER2-301-125U3X</t>
  </si>
  <si>
    <t>v1.61</t>
  </si>
  <si>
    <t>v1.62</t>
  </si>
  <si>
    <t>v1.63</t>
  </si>
  <si>
    <t>add ME2P-160-227U3X-DS16P</t>
  </si>
  <si>
    <t>v1.64</t>
  </si>
  <si>
    <t>update ME2P-160-227U3X-DS16P</t>
  </si>
  <si>
    <t>v1.65</t>
  </si>
  <si>
    <t>add ME2S-2440-16U3X</t>
  </si>
  <si>
    <t>v1.66</t>
  </si>
  <si>
    <t>update ME2S-2440-16U3X</t>
  </si>
  <si>
    <t>v1.67</t>
  </si>
  <si>
    <t>add ME2S-2020-19U3X and ME2S-1610-24U3X</t>
  </si>
  <si>
    <t>v1.68</t>
  </si>
  <si>
    <t>update ME2S-2440-16U3X ME2S-2020-19U3X and ME2S-1610-24U3X</t>
  </si>
  <si>
    <t>v1.69</t>
  </si>
  <si>
    <t>add ME2S-1260-28U3X</t>
  </si>
  <si>
    <t>v1.70</t>
  </si>
  <si>
    <t>add MER2-502-79U3X-HS</t>
  </si>
  <si>
    <t>v1.71</t>
  </si>
  <si>
    <t>add ME2S-560-70U3X</t>
  </si>
  <si>
    <t>v1.72</t>
  </si>
  <si>
    <t>add ME2L-042-120U3X
update MER2-502-79U3X-HS</t>
  </si>
  <si>
    <t>v1.73</t>
  </si>
  <si>
    <t>update ME2L-042-121U3X</t>
  </si>
  <si>
    <t>v1.74</t>
  </si>
  <si>
    <t>add MER2-041-608U3X-HS</t>
  </si>
  <si>
    <t>v1.75</t>
  </si>
  <si>
    <t>update MER2-041-608U3X-HS tp_limit_period_time_u3 formula</t>
  </si>
  <si>
    <t>v1.76</t>
  </si>
  <si>
    <t>add MER2-160-249U3X-HS</t>
  </si>
  <si>
    <t>v1.77</t>
  </si>
  <si>
    <t>add ME2P-1230-30U3X-HS</t>
  </si>
  <si>
    <t>v1.78</t>
  </si>
  <si>
    <t>add MER2-240-160U3X</t>
  </si>
  <si>
    <t>v1.79</t>
  </si>
  <si>
    <t>update MER2-240-159U3X</t>
  </si>
  <si>
    <t>v1.80</t>
  </si>
  <si>
    <t>add MER2-301-125U3X-HS</t>
  </si>
  <si>
    <t>v1.81</t>
  </si>
  <si>
    <t>update ME2P-1230-23U3X and ME2P-1231-32U3X</t>
  </si>
  <si>
    <t>v1.82</t>
  </si>
  <si>
    <t>update MER2-301-125U3X</t>
  </si>
  <si>
    <t>v1.83</t>
  </si>
  <si>
    <t>v1.84</t>
  </si>
  <si>
    <t>v1.85</t>
  </si>
  <si>
    <t>v1.86</t>
  </si>
  <si>
    <t>v1.87</t>
  </si>
  <si>
    <t>Parameter setting：</t>
  </si>
  <si>
    <t>Width</t>
  </si>
  <si>
    <t>Height</t>
  </si>
  <si>
    <t>ExposureTime(us)</t>
  </si>
  <si>
    <t>PixelFormat(8/10)</t>
  </si>
  <si>
    <t>DeviceLinkThroughputLimit(Bps)</t>
  </si>
  <si>
    <t>xtrig_low</t>
  </si>
  <si>
    <t>N</t>
  </si>
  <si>
    <t>ImageSize</t>
  </si>
  <si>
    <t>Trow</t>
  </si>
  <si>
    <t>T_acq</t>
  </si>
  <si>
    <t>AcquisitionFrameRateMode</t>
  </si>
  <si>
    <t>off</t>
  </si>
  <si>
    <t>AcquisitionFrameRate</t>
  </si>
  <si>
    <t>Tf</t>
  </si>
  <si>
    <t>Calculation result:</t>
  </si>
  <si>
    <t>FPS</t>
  </si>
  <si>
    <t>binning系数</t>
  </si>
  <si>
    <t>最大宽度</t>
  </si>
  <si>
    <t>最大高度</t>
  </si>
  <si>
    <t>Input range from 8 to 720,and is an integer multiple of 8</t>
  </si>
  <si>
    <t>Input range from 2 to 540,and is an integer multiple of 2</t>
  </si>
  <si>
    <t>BinningHorizontal</t>
  </si>
  <si>
    <t>Input range from 8 to 360,and is an integer multiple of 8</t>
  </si>
  <si>
    <t>Input range from 2 to 270,and is an integer multiple of 2</t>
  </si>
  <si>
    <t>BinningVertical</t>
  </si>
  <si>
    <t>Input range from 8 to 176,and is an integer multiple of 8</t>
  </si>
  <si>
    <t>Input range from 2 to 134,and is an integer multiple of 2</t>
  </si>
  <si>
    <t>DecimationHorizontal</t>
  </si>
  <si>
    <t>Input parameter error，please input parameter according to message</t>
  </si>
  <si>
    <t>DecimationVertical</t>
  </si>
  <si>
    <t>ExposureTimeMode</t>
  </si>
  <si>
    <t>Standard</t>
  </si>
  <si>
    <t>skipping系数</t>
  </si>
  <si>
    <t>ExposureDelayTime(us)</t>
  </si>
  <si>
    <t>PixelFormat(8/10/12)</t>
  </si>
  <si>
    <t>SensorBitDepth(Bpp8/Bpp10/Bpp12)</t>
  </si>
  <si>
    <t>Bpp8</t>
  </si>
  <si>
    <t>像素格式</t>
  </si>
  <si>
    <t>sensor位深</t>
  </si>
  <si>
    <t>Bpp10</t>
  </si>
  <si>
    <t>please input Bpp8 or Bpp10</t>
  </si>
  <si>
    <t>please input Bpp10</t>
  </si>
  <si>
    <t>Bpp12</t>
  </si>
  <si>
    <t>please input Bpp12</t>
  </si>
  <si>
    <t>hmax</t>
  </si>
  <si>
    <t>曝光时间帧周期</t>
  </si>
  <si>
    <t>ROI帧周期</t>
  </si>
  <si>
    <t>带宽控制帧周期</t>
  </si>
  <si>
    <t>帧率控制帧周期</t>
  </si>
  <si>
    <t>tOFFSET</t>
  </si>
  <si>
    <t>带宽限制帧周期（ns）</t>
  </si>
  <si>
    <t>帧率控制帧周期（ns）</t>
  </si>
  <si>
    <t>曝光决定的行周期(inck)</t>
  </si>
  <si>
    <t>带宽限制帧率控制最大行周期(inck)</t>
  </si>
  <si>
    <t>The range is[8,1280],the step size is 8</t>
  </si>
  <si>
    <t>The range is [4,1024],the step size is 4</t>
  </si>
  <si>
    <t>The range is[8,640],the step size is 8</t>
  </si>
  <si>
    <t>The range is [4,512],the step size is 4</t>
  </si>
  <si>
    <t>The range is[8,320],the step size is 8</t>
  </si>
  <si>
    <t>The range is [4,256],the step size is 4</t>
  </si>
  <si>
    <t>The parameter is wrong, please re-enter according to the prompt, otherwise the frame rate calculation result will be inaccurate</t>
  </si>
  <si>
    <t>The range is [8,1280],the step size is 8</t>
  </si>
  <si>
    <t>The range is [8,640],the step size is 8</t>
  </si>
  <si>
    <t>The range is [8,320],the step size is 8</t>
  </si>
  <si>
    <t>The range is [4,1280], the step size is 4</t>
  </si>
  <si>
    <t>The range is [4,1024], the step size is 4</t>
  </si>
  <si>
    <t>The range is [4,640], the step size is 4</t>
  </si>
  <si>
    <t>The range is [4,512], the step size is 4</t>
  </si>
  <si>
    <t>The range is [4,320], the step size is 4</t>
  </si>
  <si>
    <t>The range is [4,256], the step size is 4</t>
  </si>
  <si>
    <t>Input range from 16 to 1440,and is an integer multiple of 8</t>
  </si>
  <si>
    <t>Input range from 2 to 1080,and is an integer multiple of 2</t>
  </si>
  <si>
    <t>SensorDecimationHorizontal</t>
  </si>
  <si>
    <t>Input range from 16 to 720,and is an integer multiple of 8</t>
  </si>
  <si>
    <t>SensorDecimationVertical</t>
  </si>
  <si>
    <t>Input range from 16 to 360,and is an integer multiple of 8</t>
  </si>
  <si>
    <t>Input range from 8 to 1440,and is an integer multiple of 8</t>
  </si>
  <si>
    <t>Input range from 4 to 1080,and is an integer multiple of 2</t>
  </si>
  <si>
    <t>Input range from 4 to 540,and is an integer multiple of 2</t>
  </si>
  <si>
    <t>Input range from 4 to 270,and is an integer multiple of 2</t>
  </si>
  <si>
    <t>垂直偏移</t>
  </si>
  <si>
    <t>最大偏移</t>
  </si>
  <si>
    <t>OffsetY</t>
  </si>
  <si>
    <t>Input range from 0 to 1080-Height,and is an integer multiple of 1</t>
  </si>
  <si>
    <t>Input range from 2 to 1080,and is an integer multiple of 1</t>
  </si>
  <si>
    <t>Input range from 2 to 540,and is an integer multiple of 1</t>
  </si>
  <si>
    <t>Input range from 2 to 270,and is an integer multiple of 1</t>
  </si>
  <si>
    <t>Input range from 4 to 1080,and is an integer multiple of 1</t>
  </si>
  <si>
    <t>Input range from 4 to 540,and is an integer multiple of 1</t>
  </si>
  <si>
    <t>Input range from 4 to 270,and is an integer multiple of 1</t>
  </si>
  <si>
    <t>Mode</t>
  </si>
  <si>
    <r>
      <rPr>
        <sz val="11"/>
        <color theme="1"/>
        <rFont val="Calibri"/>
        <family val="3"/>
        <charset val="134"/>
        <scheme val="minor"/>
      </rPr>
      <t>像素格式_</t>
    </r>
    <r>
      <rPr>
        <sz val="11"/>
        <color theme="1"/>
        <rFont val="Calibri"/>
        <family val="3"/>
        <charset val="134"/>
        <scheme val="minor"/>
      </rPr>
      <t>sensor位宽</t>
    </r>
  </si>
  <si>
    <t>sensor实际出图的垂直偏移</t>
  </si>
  <si>
    <t>sensor_offset_y</t>
  </si>
  <si>
    <t>sensor实际出图的高度</t>
  </si>
  <si>
    <t>sensor_height</t>
  </si>
  <si>
    <t>da</t>
  </si>
  <si>
    <t>根据demo设置计算出的等效ROI</t>
  </si>
  <si>
    <t>Width_Region</t>
  </si>
  <si>
    <t>Height_Region</t>
  </si>
  <si>
    <t>sensor实际输出的ROI</t>
  </si>
  <si>
    <t>TriggerMode</t>
  </si>
  <si>
    <t>tRow</t>
  </si>
  <si>
    <t>ns</t>
  </si>
  <si>
    <t>tConfig</t>
  </si>
  <si>
    <t>us</t>
  </si>
  <si>
    <t>tXVS2RD</t>
  </si>
  <si>
    <t>tXVS2CPP</t>
  </si>
  <si>
    <t>tolerance_line</t>
  </si>
  <si>
    <t>Vbmin</t>
  </si>
  <si>
    <t>SHS1_MIN</t>
  </si>
  <si>
    <t>transfer_size</t>
  </si>
  <si>
    <t>Byte</t>
  </si>
  <si>
    <t>tFrame_ROI</t>
  </si>
  <si>
    <t>tFrame_Exp</t>
  </si>
  <si>
    <t>tFrame_Rate</t>
  </si>
  <si>
    <t>tFrame_limit</t>
  </si>
  <si>
    <t>tFrame_tri</t>
  </si>
  <si>
    <t>tFrame_Final</t>
  </si>
  <si>
    <t>LINE_U_LENGTH</t>
  </si>
  <si>
    <t>exp_start_dly_line</t>
  </si>
  <si>
    <t>exp_end_dly_clk</t>
  </si>
  <si>
    <t>Risky Duration</t>
  </si>
  <si>
    <t>Readout margin</t>
  </si>
  <si>
    <t>fot</t>
  </si>
  <si>
    <t>img_row_time</t>
  </si>
  <si>
    <t>exp_time</t>
  </si>
  <si>
    <t>judgment of risky duration</t>
  </si>
  <si>
    <t>exp risky delay time</t>
  </si>
  <si>
    <t>period_time</t>
  </si>
  <si>
    <t>exp_period_time</t>
  </si>
  <si>
    <t>fps_limit_flag</t>
  </si>
  <si>
    <t>fps_limit_period_time</t>
  </si>
  <si>
    <t>bandwidth_max</t>
  </si>
  <si>
    <t>image_size</t>
  </si>
  <si>
    <t>frame_size</t>
  </si>
  <si>
    <t>tp_limit_period_time</t>
  </si>
  <si>
    <t>Input range from 16 to 2048,and is an integer multiple of 8</t>
  </si>
  <si>
    <t>Input range from 2 to 1536,and is an integer multiple of 2</t>
  </si>
  <si>
    <t>Input range from 16 to 1024,and is an integer multiple of 8</t>
  </si>
  <si>
    <t>Input range from 2 to 768,and is an integer multiple of 2</t>
  </si>
  <si>
    <t>Input range from 16 to 512,and is an integer multiple of 8</t>
  </si>
  <si>
    <t>Input range from 2 to 384,and is an integer multiple of 2</t>
  </si>
  <si>
    <t>BinningSelector</t>
  </si>
  <si>
    <t>Region0</t>
  </si>
  <si>
    <t>sensor binning</t>
  </si>
  <si>
    <t>垂直系数</t>
  </si>
  <si>
    <t>The width must equal to 1024</t>
  </si>
  <si>
    <t>The height must equal to 768</t>
  </si>
  <si>
    <t>PixelFormat(8/12)</t>
  </si>
  <si>
    <t>Input range from 8 to 2448,and is an integer multiple of 8</t>
  </si>
  <si>
    <t>Input range from 4 to 2048,and is an integer multiple of 2</t>
  </si>
  <si>
    <t>Input range from 8 to 1224,and is an integer multiple of 8</t>
  </si>
  <si>
    <t>Input range from 4 to 1024,and is an integer multiple of 2</t>
  </si>
  <si>
    <t>Input range from 8 to 608,and is an integer multiple of 8</t>
  </si>
  <si>
    <t>Input range from 4 to 512,and is an integer multiple of 2</t>
  </si>
  <si>
    <t>tFrame_tri_ns</t>
  </si>
  <si>
    <t>tRow_min</t>
  </si>
  <si>
    <t>height_max</t>
  </si>
  <si>
    <t>tFrame_tri_ns_sel</t>
  </si>
  <si>
    <t>-</t>
  </si>
  <si>
    <t>Input range from 64 to 2592,and is an integer multiple of 32</t>
  </si>
  <si>
    <t>Input range from 2 to 2048,and is an integer multiple of 2</t>
  </si>
  <si>
    <t>Input range from 64 to 1280,and is an integer multiple of 32</t>
  </si>
  <si>
    <t>Input range from 2 to 1024,and is an integer multiple of 2</t>
  </si>
  <si>
    <t>Input range from 64 to 640,and is an integer multiple of 32</t>
  </si>
  <si>
    <t>Input range from 2 to 512,and is an integer multiple of 2</t>
  </si>
  <si>
    <t>black_line_num</t>
  </si>
  <si>
    <t>dummy_line_num</t>
  </si>
  <si>
    <t>dummy_lines_bf_exp</t>
  </si>
  <si>
    <t>fot（ns）</t>
  </si>
  <si>
    <t>fot_int（ns）</t>
  </si>
  <si>
    <t>rot_img（clk）</t>
  </si>
  <si>
    <t>rot_bl（clk）</t>
  </si>
  <si>
    <t>img_rem</t>
  </si>
  <si>
    <t>bl_rem</t>
  </si>
  <si>
    <t>rot_img_rem</t>
  </si>
  <si>
    <t>rot_bl_rem</t>
  </si>
  <si>
    <t>xsm_delay_time</t>
  </si>
  <si>
    <t>frame_rate_limit_parameter</t>
  </si>
  <si>
    <t>img_row_time(ns)</t>
  </si>
  <si>
    <t>bl_row_time(ns)</t>
  </si>
  <si>
    <t>image_line_time(ns)</t>
  </si>
  <si>
    <t>black_line_time(ns)</t>
  </si>
  <si>
    <t>dummy_line_time</t>
  </si>
  <si>
    <t>dummy_line_bf_time</t>
  </si>
  <si>
    <t>readout_exp_margin(ns)</t>
  </si>
  <si>
    <t>readout_period_time</t>
  </si>
  <si>
    <t>Calculation result：</t>
  </si>
  <si>
    <t>曝光时间范围最小值</t>
  </si>
  <si>
    <t>Input range from 16 to 3088,and is an integer multiple of 8</t>
  </si>
  <si>
    <t>Input range from 2 to 2064,and is an integer multiple of 2</t>
  </si>
  <si>
    <t>Input range from 16 to 1544,and is an integer multiple of 8</t>
  </si>
  <si>
    <t>Input range from 2 to 1032,and is an integer multiple of 2</t>
  </si>
  <si>
    <t>Input range from 16 to 516,and is an integer multiple of 8</t>
  </si>
  <si>
    <t>Input range from 2 to 516,and is an integer multiple of 2</t>
  </si>
  <si>
    <t>ExposureDelay(us)</t>
  </si>
  <si>
    <t>ShutterMode</t>
  </si>
  <si>
    <t>Rolling</t>
  </si>
  <si>
    <t>`</t>
  </si>
  <si>
    <t>imx178_grr_period</t>
  </si>
  <si>
    <t>trig_period_time</t>
  </si>
  <si>
    <t>final_period</t>
  </si>
  <si>
    <r>
      <rPr>
        <sz val="11"/>
        <color theme="1"/>
        <rFont val="Calibri"/>
        <family val="3"/>
        <charset val="134"/>
        <scheme val="minor"/>
      </rPr>
      <t>n</t>
    </r>
    <r>
      <rPr>
        <sz val="11"/>
        <color theme="1"/>
        <rFont val="Calibri"/>
        <family val="3"/>
        <charset val="134"/>
        <scheme val="minor"/>
      </rPr>
      <t>s</t>
    </r>
  </si>
  <si>
    <t>Input range from 16 to 4024,and is an integer multiple of 8</t>
  </si>
  <si>
    <t>Input range from 2 to 3036,and is an integer multiple of 2</t>
  </si>
  <si>
    <t>曝光时间范围最大值</t>
  </si>
  <si>
    <t>Input range from 16 to 2008,and is an integer multiple of 8</t>
  </si>
  <si>
    <t>Input range from 2 to 1518,and is an integer multiple of 2</t>
  </si>
  <si>
    <t>Input range from 16 to 1000,and is an integer multiple of 8</t>
  </si>
  <si>
    <t>Input range from 2 to 758,and is an integer multiple of 2</t>
  </si>
  <si>
    <t>sensor最大宽高</t>
  </si>
  <si>
    <t>sensor最小宽度</t>
  </si>
  <si>
    <t>Input range from 16 to 4096,and is an integer multiple of 8</t>
  </si>
  <si>
    <t>Input range from 2 to 3000,and is an integer multiple of 2</t>
  </si>
  <si>
    <t>Input range from 2 to 1500,and is an integer multiple of 2</t>
  </si>
  <si>
    <t>Input range from 2 to 750,and is an integer multiple of 2</t>
  </si>
  <si>
    <t>The parameter is incorrect. Re-enter the parameter as prompted. Otherwise, the calculation result is inaccurate</t>
  </si>
  <si>
    <t>范围为[16,4096],步长为16</t>
  </si>
  <si>
    <t>范围为[4,3000],步长为2</t>
  </si>
  <si>
    <t>范围为[16,2048],步长为16</t>
  </si>
  <si>
    <t>范围为[4,1500],步长为2</t>
  </si>
  <si>
    <t>只能设置为Bpp8或Bpp10</t>
  </si>
  <si>
    <t>只能设置为Bpp10</t>
  </si>
  <si>
    <t>只能设置为Bpp12</t>
  </si>
  <si>
    <t>Trigger_length</t>
  </si>
  <si>
    <t>行</t>
  </si>
  <si>
    <t>total(us)</t>
  </si>
  <si>
    <t>曝光时间范围</t>
  </si>
  <si>
    <t>起始延迟</t>
  </si>
  <si>
    <t>结束延迟</t>
  </si>
  <si>
    <t>帧周期计算</t>
  </si>
  <si>
    <t>XGS需改动参数</t>
  </si>
  <si>
    <t>最小宽度</t>
  </si>
  <si>
    <t>最小高度</t>
  </si>
  <si>
    <t>宽度步长</t>
  </si>
  <si>
    <t>高度步长</t>
  </si>
  <si>
    <t>非有效像素行数</t>
  </si>
  <si>
    <t>最小触发间隔</t>
  </si>
  <si>
    <t>输入时钟频率MHz</t>
  </si>
  <si>
    <t>起始延迟/行</t>
  </si>
  <si>
    <t>起始延迟/us</t>
  </si>
  <si>
    <t>结束延迟/行</t>
  </si>
  <si>
    <t>结束延迟/us</t>
  </si>
  <si>
    <t>Short</t>
  </si>
  <si>
    <t>VBmin</t>
  </si>
  <si>
    <r>
      <rPr>
        <sz val="11"/>
        <color theme="1"/>
        <rFont val="Calibri"/>
        <family val="3"/>
        <charset val="134"/>
        <scheme val="minor"/>
      </rPr>
      <t>T</t>
    </r>
    <r>
      <rPr>
        <sz val="11"/>
        <color theme="1"/>
        <rFont val="Calibri"/>
        <family val="3"/>
        <charset val="134"/>
        <scheme val="minor"/>
      </rPr>
      <t>Prow</t>
    </r>
  </si>
  <si>
    <t>Toffset(us)</t>
  </si>
  <si>
    <t>ExpIntMin(line)</t>
  </si>
  <si>
    <t>Input range from 16 to 5496,and is an integer multiple of 8</t>
  </si>
  <si>
    <t>Input range from 2 to 3672,and is an integer multiple of 2</t>
  </si>
  <si>
    <t>Input range from 16 to 2744,and is an integer multiple of 8</t>
  </si>
  <si>
    <t>Input range from 2 to 1836,and is an integer multiple of 2</t>
  </si>
  <si>
    <t>Input range from 16 to 1368,and is an integer multiple of 8</t>
  </si>
  <si>
    <t>Input range from 2 to 918,and is an integer multiple of 2</t>
  </si>
  <si>
    <r>
      <t>add ME2P-530-7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U3X</t>
    </r>
    <phoneticPr fontId="21" type="noConversion"/>
  </si>
  <si>
    <r>
      <t>v1.8</t>
    </r>
    <r>
      <rPr>
        <sz val="11"/>
        <color theme="1"/>
        <rFont val="宋体"/>
        <family val="3"/>
        <charset val="134"/>
      </rPr>
      <t>8</t>
    </r>
    <phoneticPr fontId="21" type="noConversion"/>
  </si>
  <si>
    <t>update ME2P-501-79U3X</t>
    <phoneticPr fontId="21" type="noConversion"/>
  </si>
  <si>
    <t>update ME2P-530-72U3X</t>
    <phoneticPr fontId="21" type="noConversion"/>
  </si>
  <si>
    <t>v1.89</t>
    <phoneticPr fontId="21" type="noConversion"/>
  </si>
  <si>
    <t>update MER2-510-36U3X</t>
    <phoneticPr fontId="21" type="noConversion"/>
  </si>
  <si>
    <t>v1.90</t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</si>
  <si>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2048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</si>
  <si>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1024</t>
    </r>
    <r>
      <rPr>
        <sz val="11"/>
        <color theme="1"/>
        <rFont val="Calibri"/>
        <family val="3"/>
        <charset val="134"/>
        <scheme val="minor"/>
      </rPr>
      <t>and is an integer multiple of 8</t>
    </r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</si>
  <si>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512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</si>
  <si>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1536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</si>
  <si>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768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</si>
  <si>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384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</si>
  <si>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t>BinningSelector</t>
    <phoneticPr fontId="21" type="noConversion"/>
  </si>
  <si>
    <t>binning垂直系数</t>
    <phoneticPr fontId="21" type="noConversion"/>
  </si>
  <si>
    <t>v1.91</t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</si>
  <si>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2048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</si>
  <si>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1536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</si>
  <si>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t>BinningSelector</t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</si>
  <si>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1024</t>
    </r>
    <r>
      <rPr>
        <sz val="11"/>
        <color theme="1"/>
        <rFont val="Calibri"/>
        <family val="3"/>
        <charset val="134"/>
        <scheme val="minor"/>
      </rPr>
      <t>and is an integer multiple of 8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</si>
  <si>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768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</si>
  <si>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512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</si>
  <si>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384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</si>
  <si>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t>binning垂直系数</t>
    <phoneticPr fontId="21" type="noConversion"/>
  </si>
  <si>
    <t>add MER2-304-56U3X</t>
    <phoneticPr fontId="21" type="noConversion"/>
  </si>
  <si>
    <t>add MER2-303-107U3X</t>
    <phoneticPr fontId="21" type="noConversion"/>
  </si>
  <si>
    <t>UltraShort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</si>
</sst>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22">
    <font>
      <sz val="11"/>
      <color theme="1"/>
      <name val="Calibri"/>
      <charset val="134"/>
      <scheme val="minor"/>
    </font>
    <font>
      <b/>
      <sz val="11"/>
      <color theme="0"/>
      <name val="华文细黑"/>
      <family val="3"/>
      <charset val="134"/>
    </font>
    <font>
      <sz val="11"/>
      <color rgb="FFFF0000"/>
      <name val="Calibri"/>
      <family val="3"/>
      <charset val="134"/>
      <scheme val="minor"/>
    </font>
    <font>
      <b/>
      <sz val="11"/>
      <color rgb="FFFFFF00"/>
      <name val="华文细黑"/>
      <family val="3"/>
      <charset val="134"/>
    </font>
    <font>
      <b/>
      <sz val="18"/>
      <color theme="0"/>
      <name val="华文细黑"/>
      <family val="3"/>
      <charset val="134"/>
    </font>
    <font>
      <sz val="11"/>
      <name val="Calibri"/>
      <family val="3"/>
      <charset val="134"/>
      <scheme val="minor"/>
    </font>
    <font>
      <b/>
      <sz val="11"/>
      <color rgb="FFFF0000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1"/>
      <color theme="0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1"/>
      <color theme="0"/>
      <name val="华文细黑"/>
      <family val="3"/>
      <charset val="134"/>
    </font>
    <font>
      <sz val="11"/>
      <color rgb="FFFF0000"/>
      <name val="Calibri"/>
      <family val="3"/>
      <charset val="134"/>
      <scheme val="minor"/>
    </font>
    <font>
      <b/>
      <sz val="18"/>
      <color theme="0"/>
      <name val="华文细黑"/>
      <family val="3"/>
      <charset val="134"/>
    </font>
    <font>
      <sz val="11"/>
      <name val="Calibri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ＭＳ Ｐゴシック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3" tint="0.399914548173467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3" tint="0.399914548173467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8">
    <xf numFmtId="0" fontId="0" fillId="0" borderId="0"/>
    <xf numFmtId="0" fontId="20" fillId="0" borderId="0">
      <alignment vertical="center"/>
    </xf>
    <xf numFmtId="0" fontId="17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</cellStyleXfs>
  <cellXfs count="182">
    <xf numFmtId="0" fontId="0" fillId="0" borderId="0" xfId="0"/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2" xfId="10" applyFont="1" applyFill="1" applyBorder="1" applyAlignment="1">
      <alignment vertical="center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3" fillId="2" borderId="2" xfId="10" applyFont="1" applyFill="1" applyBorder="1" applyAlignment="1">
      <alignment vertical="center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2" fontId="4" fillId="4" borderId="2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vertical="center"/>
    </xf>
    <xf numFmtId="0" fontId="1" fillId="5" borderId="2" xfId="10" applyFont="1" applyFill="1" applyBorder="1" applyAlignment="1">
      <alignment vertical="center"/>
    </xf>
    <xf numFmtId="0" fontId="1" fillId="5" borderId="2" xfId="0" applyFont="1" applyFill="1" applyBorder="1" applyAlignment="1" applyProtection="1">
      <alignment horizontal="left" vertical="center"/>
      <protection locked="0"/>
    </xf>
    <xf numFmtId="0" fontId="1" fillId="5" borderId="2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0" fillId="0" borderId="0" xfId="6">
      <alignment vertical="center"/>
    </xf>
    <xf numFmtId="0" fontId="6" fillId="0" borderId="0" xfId="6" applyFont="1">
      <alignment vertical="center"/>
    </xf>
    <xf numFmtId="0" fontId="1" fillId="3" borderId="2" xfId="8" applyFont="1" applyFill="1" applyBorder="1" applyAlignment="1">
      <alignment vertical="center"/>
    </xf>
    <xf numFmtId="0" fontId="1" fillId="3" borderId="2" xfId="6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6" fillId="0" borderId="0" xfId="15" applyFont="1">
      <alignment vertical="center"/>
    </xf>
    <xf numFmtId="0" fontId="1" fillId="2" borderId="2" xfId="8" applyFont="1" applyFill="1" applyBorder="1" applyAlignment="1">
      <alignment vertical="center"/>
    </xf>
    <xf numFmtId="0" fontId="1" fillId="2" borderId="2" xfId="6" applyFont="1" applyFill="1" applyBorder="1" applyAlignment="1" applyProtection="1">
      <alignment horizontal="left" vertical="center"/>
      <protection locked="0"/>
    </xf>
    <xf numFmtId="0" fontId="1" fillId="2" borderId="2" xfId="15" applyFont="1" applyFill="1" applyBorder="1" applyAlignment="1" applyProtection="1">
      <alignment horizontal="left" vertical="center"/>
      <protection locked="0"/>
    </xf>
    <xf numFmtId="0" fontId="1" fillId="2" borderId="2" xfId="11" applyFont="1" applyFill="1" applyBorder="1" applyAlignment="1" applyProtection="1">
      <alignment horizontal="left" vertical="center"/>
      <protection locked="0"/>
    </xf>
    <xf numFmtId="0" fontId="0" fillId="0" borderId="0" xfId="6" applyFont="1">
      <alignment vertical="center"/>
    </xf>
    <xf numFmtId="0" fontId="1" fillId="2" borderId="2" xfId="6" applyFont="1" applyFill="1" applyBorder="1">
      <alignment vertical="center"/>
    </xf>
    <xf numFmtId="0" fontId="1" fillId="2" borderId="2" xfId="6" applyFont="1" applyFill="1" applyBorder="1" applyAlignment="1">
      <alignment horizontal="left" vertical="center"/>
    </xf>
    <xf numFmtId="0" fontId="4" fillId="4" borderId="2" xfId="6" applyFont="1" applyFill="1" applyBorder="1">
      <alignment vertical="center"/>
    </xf>
    <xf numFmtId="2" fontId="4" fillId="4" borderId="2" xfId="6" applyNumberFormat="1" applyFont="1" applyFill="1" applyBorder="1" applyAlignment="1">
      <alignment horizontal="left" vertical="center"/>
    </xf>
    <xf numFmtId="0" fontId="20" fillId="0" borderId="2" xfId="6" applyBorder="1">
      <alignment vertical="center"/>
    </xf>
    <xf numFmtId="0" fontId="0" fillId="0" borderId="2" xfId="6" applyFont="1" applyBorder="1">
      <alignment vertical="center"/>
    </xf>
    <xf numFmtId="0" fontId="0" fillId="0" borderId="5" xfId="0" applyBorder="1" applyAlignment="1">
      <alignment horizontal="left" vertical="center" wrapText="1"/>
    </xf>
    <xf numFmtId="0" fontId="7" fillId="7" borderId="2" xfId="0" applyFont="1" applyFill="1" applyBorder="1" applyAlignment="1">
      <alignment horizontal="left" vertical="center" wrapText="1"/>
    </xf>
    <xf numFmtId="0" fontId="20" fillId="0" borderId="2" xfId="15" applyBorder="1">
      <alignment vertical="center"/>
    </xf>
    <xf numFmtId="0" fontId="5" fillId="0" borderId="5" xfId="0" applyFont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0" borderId="2" xfId="15" applyFont="1" applyBorder="1">
      <alignment vertical="center"/>
    </xf>
    <xf numFmtId="0" fontId="8" fillId="7" borderId="2" xfId="0" applyFont="1" applyFill="1" applyBorder="1" applyAlignment="1">
      <alignment horizontal="left" vertical="center" wrapText="1"/>
    </xf>
    <xf numFmtId="0" fontId="0" fillId="0" borderId="0" xfId="15" applyFont="1">
      <alignment vertical="center"/>
    </xf>
    <xf numFmtId="0" fontId="20" fillId="0" borderId="0" xfId="15">
      <alignment vertical="center"/>
    </xf>
    <xf numFmtId="0" fontId="20" fillId="0" borderId="6" xfId="4" applyBorder="1" applyAlignment="1">
      <alignment horizontal="center" vertical="center"/>
    </xf>
    <xf numFmtId="0" fontId="20" fillId="0" borderId="7" xfId="4" applyBorder="1" applyAlignment="1">
      <alignment horizontal="center" vertical="center"/>
    </xf>
    <xf numFmtId="0" fontId="20" fillId="0" borderId="8" xfId="4" applyBorder="1" applyAlignment="1">
      <alignment horizontal="center" vertical="center"/>
    </xf>
    <xf numFmtId="0" fontId="20" fillId="0" borderId="0" xfId="4" applyAlignment="1">
      <alignment horizontal="center" vertical="center"/>
    </xf>
    <xf numFmtId="0" fontId="20" fillId="0" borderId="9" xfId="4" applyBorder="1" applyAlignment="1">
      <alignment horizontal="center" vertical="center"/>
    </xf>
    <xf numFmtId="0" fontId="20" fillId="0" borderId="10" xfId="4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8" borderId="2" xfId="10" applyFont="1" applyFill="1" applyBorder="1" applyAlignment="1">
      <alignment vertical="center"/>
    </xf>
    <xf numFmtId="0" fontId="1" fillId="8" borderId="2" xfId="0" applyFont="1" applyFill="1" applyBorder="1" applyAlignment="1" applyProtection="1">
      <alignment horizontal="left" vertical="center"/>
      <protection locked="0"/>
    </xf>
    <xf numFmtId="0" fontId="0" fillId="0" borderId="9" xfId="0" applyBorder="1" applyAlignment="1">
      <alignment horizontal="center" vertical="center"/>
    </xf>
    <xf numFmtId="0" fontId="1" fillId="9" borderId="2" xfId="0" applyFont="1" applyFill="1" applyBorder="1" applyAlignment="1" applyProtection="1">
      <alignment horizontal="left" vertical="center"/>
      <protection locked="0"/>
    </xf>
    <xf numFmtId="0" fontId="20" fillId="0" borderId="11" xfId="4" applyBorder="1" applyAlignment="1">
      <alignment horizontal="center" vertical="center"/>
    </xf>
    <xf numFmtId="0" fontId="20" fillId="0" borderId="12" xfId="4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" fillId="8" borderId="2" xfId="0" applyFont="1" applyFill="1" applyBorder="1" applyAlignment="1">
      <alignment vertical="center"/>
    </xf>
    <xf numFmtId="0" fontId="1" fillId="8" borderId="2" xfId="0" applyFont="1" applyFill="1" applyBorder="1" applyAlignment="1">
      <alignment horizontal="left" vertical="center"/>
    </xf>
    <xf numFmtId="0" fontId="0" fillId="0" borderId="8" xfId="0" applyBorder="1"/>
    <xf numFmtId="0" fontId="0" fillId="0" borderId="9" xfId="0" applyBorder="1" applyAlignment="1">
      <alignment vertical="center"/>
    </xf>
    <xf numFmtId="0" fontId="20" fillId="0" borderId="8" xfId="4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4" applyFont="1" applyBorder="1">
      <alignment vertical="center"/>
    </xf>
    <xf numFmtId="0" fontId="0" fillId="0" borderId="9" xfId="4" applyFont="1" applyBorder="1">
      <alignment vertical="center"/>
    </xf>
    <xf numFmtId="0" fontId="20" fillId="0" borderId="7" xfId="4" applyBorder="1">
      <alignment vertical="center"/>
    </xf>
    <xf numFmtId="0" fontId="20" fillId="0" borderId="11" xfId="4" applyBorder="1">
      <alignment vertical="center"/>
    </xf>
    <xf numFmtId="0" fontId="0" fillId="0" borderId="0" xfId="4" applyFont="1">
      <alignment vertical="center"/>
    </xf>
    <xf numFmtId="0" fontId="0" fillId="0" borderId="12" xfId="4" applyFont="1" applyBorder="1">
      <alignment vertical="center"/>
    </xf>
    <xf numFmtId="0" fontId="20" fillId="0" borderId="0" xfId="4">
      <alignment vertical="center"/>
    </xf>
    <xf numFmtId="0" fontId="20" fillId="0" borderId="12" xfId="4" applyBorder="1">
      <alignment vertical="center"/>
    </xf>
    <xf numFmtId="0" fontId="20" fillId="0" borderId="10" xfId="4" applyBorder="1">
      <alignment vertical="center"/>
    </xf>
    <xf numFmtId="0" fontId="20" fillId="0" borderId="13" xfId="4" applyBorder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1" xfId="4" applyFont="1" applyBorder="1" applyAlignment="1">
      <alignment horizontal="center" vertical="center"/>
    </xf>
    <xf numFmtId="0" fontId="0" fillId="9" borderId="12" xfId="0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9" borderId="12" xfId="0" applyFill="1" applyBorder="1"/>
    <xf numFmtId="0" fontId="1" fillId="2" borderId="2" xfId="0" applyFont="1" applyFill="1" applyBorder="1" applyAlignment="1">
      <alignment horizontal="left" vertical="center"/>
    </xf>
    <xf numFmtId="0" fontId="1" fillId="3" borderId="2" xfId="1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" fillId="10" borderId="2" xfId="0" applyFont="1" applyFill="1" applyBorder="1" applyAlignment="1">
      <alignment vertical="center"/>
    </xf>
    <xf numFmtId="0" fontId="1" fillId="10" borderId="2" xfId="0" applyFont="1" applyFill="1" applyBorder="1" applyAlignment="1" applyProtection="1">
      <alignment horizontal="left" vertical="center"/>
      <protection locked="0"/>
    </xf>
    <xf numFmtId="0" fontId="1" fillId="10" borderId="2" xfId="10" applyFont="1" applyFill="1" applyBorder="1" applyAlignment="1">
      <alignment vertical="center"/>
    </xf>
    <xf numFmtId="0" fontId="3" fillId="10" borderId="2" xfId="10" applyFont="1" applyFill="1" applyBorder="1" applyAlignment="1">
      <alignment vertical="center"/>
    </xf>
    <xf numFmtId="0" fontId="3" fillId="10" borderId="2" xfId="0" applyFont="1" applyFill="1" applyBorder="1" applyAlignment="1" applyProtection="1">
      <alignment horizontal="left" vertical="center"/>
      <protection locked="0"/>
    </xf>
    <xf numFmtId="0" fontId="3" fillId="10" borderId="2" xfId="0" applyFont="1" applyFill="1" applyBorder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1" fillId="11" borderId="2" xfId="10" applyFont="1" applyFill="1" applyBorder="1" applyAlignment="1">
      <alignment vertical="center"/>
    </xf>
    <xf numFmtId="0" fontId="11" fillId="12" borderId="2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vertical="center"/>
    </xf>
    <xf numFmtId="0" fontId="11" fillId="11" borderId="2" xfId="0" applyFont="1" applyFill="1" applyBorder="1" applyAlignment="1">
      <alignment vertical="center"/>
    </xf>
    <xf numFmtId="0" fontId="11" fillId="11" borderId="2" xfId="0" applyFont="1" applyFill="1" applyBorder="1" applyAlignment="1" applyProtection="1">
      <alignment horizontal="left" vertical="center"/>
      <protection locked="0"/>
    </xf>
    <xf numFmtId="0" fontId="11" fillId="13" borderId="2" xfId="10" applyFont="1" applyFill="1" applyBorder="1" applyAlignment="1">
      <alignment vertical="center"/>
    </xf>
    <xf numFmtId="0" fontId="11" fillId="13" borderId="2" xfId="0" applyFont="1" applyFill="1" applyBorder="1" applyAlignment="1" applyProtection="1">
      <alignment horizontal="left" vertical="center"/>
      <protection locked="0"/>
    </xf>
    <xf numFmtId="0" fontId="12" fillId="0" borderId="0" xfId="0" applyFont="1"/>
    <xf numFmtId="164" fontId="11" fillId="13" borderId="2" xfId="0" applyNumberFormat="1" applyFont="1" applyFill="1" applyBorder="1" applyAlignment="1" applyProtection="1">
      <alignment horizontal="left" vertical="center"/>
      <protection locked="0"/>
    </xf>
    <xf numFmtId="0" fontId="11" fillId="13" borderId="2" xfId="0" applyFont="1" applyFill="1" applyBorder="1" applyAlignment="1">
      <alignment vertical="center"/>
    </xf>
    <xf numFmtId="0" fontId="11" fillId="13" borderId="2" xfId="0" applyFont="1" applyFill="1" applyBorder="1" applyAlignment="1">
      <alignment horizontal="left" vertical="center"/>
    </xf>
    <xf numFmtId="0" fontId="13" fillId="4" borderId="2" xfId="0" applyFont="1" applyFill="1" applyBorder="1" applyAlignment="1">
      <alignment vertical="center"/>
    </xf>
    <xf numFmtId="2" fontId="13" fillId="4" borderId="2" xfId="0" applyNumberFormat="1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" fillId="0" borderId="0" xfId="4" applyFont="1">
      <alignment vertical="center"/>
    </xf>
    <xf numFmtId="0" fontId="1" fillId="2" borderId="2" xfId="4" applyFont="1" applyFill="1" applyBorder="1" applyAlignment="1" applyProtection="1">
      <alignment horizontal="left" vertical="center"/>
      <protection locked="0"/>
    </xf>
    <xf numFmtId="0" fontId="1" fillId="2" borderId="2" xfId="4" applyFont="1" applyFill="1" applyBorder="1">
      <alignment vertical="center"/>
    </xf>
    <xf numFmtId="0" fontId="1" fillId="2" borderId="2" xfId="4" applyFont="1" applyFill="1" applyBorder="1" applyAlignment="1">
      <alignment horizontal="left" vertical="center"/>
    </xf>
    <xf numFmtId="0" fontId="4" fillId="4" borderId="2" xfId="4" applyFont="1" applyFill="1" applyBorder="1">
      <alignment vertical="center"/>
    </xf>
    <xf numFmtId="2" fontId="4" fillId="4" borderId="2" xfId="4" applyNumberFormat="1" applyFont="1" applyFill="1" applyBorder="1" applyAlignment="1">
      <alignment horizontal="left" vertical="center"/>
    </xf>
    <xf numFmtId="0" fontId="8" fillId="0" borderId="0" xfId="4" applyFont="1">
      <alignment vertical="center"/>
    </xf>
    <xf numFmtId="0" fontId="2" fillId="0" borderId="0" xfId="3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2" xfId="13" applyFont="1" applyFill="1" applyBorder="1" applyAlignment="1" applyProtection="1">
      <alignment horizontal="left" vertical="center"/>
      <protection locked="0"/>
    </xf>
    <xf numFmtId="0" fontId="1" fillId="2" borderId="2" xfId="13" applyFont="1" applyFill="1" applyBorder="1" applyAlignment="1">
      <alignment horizontal="left" vertical="center"/>
    </xf>
    <xf numFmtId="0" fontId="4" fillId="4" borderId="2" xfId="13" applyFont="1" applyFill="1" applyBorder="1">
      <alignment vertical="center"/>
    </xf>
    <xf numFmtId="2" fontId="4" fillId="4" borderId="2" xfId="13" applyNumberFormat="1" applyFont="1" applyFill="1" applyBorder="1" applyAlignment="1">
      <alignment horizontal="left" vertical="center"/>
    </xf>
    <xf numFmtId="0" fontId="1" fillId="2" borderId="2" xfId="1" applyFont="1" applyFill="1" applyBorder="1" applyAlignment="1" applyProtection="1">
      <alignment horizontal="left" vertical="center"/>
      <protection locked="0"/>
    </xf>
    <xf numFmtId="0" fontId="1" fillId="2" borderId="2" xfId="1" applyFont="1" applyFill="1" applyBorder="1" applyAlignment="1">
      <alignment horizontal="left" vertical="center"/>
    </xf>
    <xf numFmtId="0" fontId="4" fillId="4" borderId="2" xfId="1" applyFont="1" applyFill="1" applyBorder="1">
      <alignment vertical="center"/>
    </xf>
    <xf numFmtId="2" fontId="4" fillId="4" borderId="2" xfId="1" applyNumberFormat="1" applyFont="1" applyFill="1" applyBorder="1" applyAlignment="1">
      <alignment horizontal="left" vertical="center"/>
    </xf>
    <xf numFmtId="0" fontId="0" fillId="14" borderId="2" xfId="0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2" xfId="0" applyBorder="1"/>
    <xf numFmtId="0" fontId="8" fillId="0" borderId="0" xfId="0" applyFont="1" applyAlignment="1">
      <alignment vertical="center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1" borderId="2" xfId="10" applyFont="1" applyFill="1" applyBorder="1" applyAlignment="1">
      <alignment vertical="center"/>
    </xf>
    <xf numFmtId="0" fontId="1" fillId="15" borderId="2" xfId="10" applyFont="1" applyFill="1" applyBorder="1" applyAlignment="1">
      <alignment vertical="center"/>
    </xf>
    <xf numFmtId="0" fontId="1" fillId="15" borderId="2" xfId="0" applyFont="1" applyFill="1" applyBorder="1" applyAlignment="1" applyProtection="1">
      <alignment horizontal="left" vertical="center"/>
      <protection locked="0"/>
    </xf>
    <xf numFmtId="0" fontId="1" fillId="15" borderId="2" xfId="0" applyFont="1" applyFill="1" applyBorder="1" applyAlignment="1">
      <alignment vertical="center"/>
    </xf>
    <xf numFmtId="0" fontId="1" fillId="15" borderId="2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0" fillId="14" borderId="2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3" xfId="1" applyBorder="1">
      <alignment vertical="center"/>
    </xf>
    <xf numFmtId="0" fontId="20" fillId="0" borderId="4" xfId="1" applyBorder="1">
      <alignment vertical="center"/>
    </xf>
    <xf numFmtId="0" fontId="20" fillId="0" borderId="3" xfId="13" applyBorder="1">
      <alignment vertical="center"/>
    </xf>
    <xf numFmtId="0" fontId="20" fillId="0" borderId="4" xfId="13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left" vertical="center" wrapText="1"/>
    </xf>
    <xf numFmtId="0" fontId="11" fillId="11" borderId="3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20" fillId="6" borderId="1" xfId="6" applyFill="1" applyBorder="1" applyAlignment="1">
      <alignment horizontal="center" vertical="center"/>
    </xf>
    <xf numFmtId="0" fontId="20" fillId="6" borderId="3" xfId="6" applyFill="1" applyBorder="1" applyAlignment="1">
      <alignment horizontal="center" vertical="center"/>
    </xf>
    <xf numFmtId="0" fontId="20" fillId="6" borderId="4" xfId="6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</cellXfs>
  <cellStyles count="18">
    <cellStyle name="Normal" xfId="0" builtinId="0"/>
    <cellStyle name="常规 10" xfId="9" xr:uid="{00000000-0005-0000-0000-000002000000}"/>
    <cellStyle name="常规 2" xfId="10" xr:uid="{00000000-0005-0000-0000-000003000000}"/>
    <cellStyle name="常规 2 2" xfId="8" xr:uid="{00000000-0005-0000-0000-000004000000}"/>
    <cellStyle name="常规 3" xfId="11" xr:uid="{00000000-0005-0000-0000-000005000000}"/>
    <cellStyle name="常规 3 2" xfId="6" xr:uid="{00000000-0005-0000-0000-000006000000}"/>
    <cellStyle name="常规 3 2 2" xfId="5" xr:uid="{00000000-0005-0000-0000-000007000000}"/>
    <cellStyle name="常规 3 3" xfId="7" xr:uid="{00000000-0005-0000-0000-000008000000}"/>
    <cellStyle name="常规 4" xfId="12" xr:uid="{00000000-0005-0000-0000-000009000000}"/>
    <cellStyle name="常规 4 2" xfId="13" xr:uid="{00000000-0005-0000-0000-00000A000000}"/>
    <cellStyle name="常规 4 2 2" xfId="1" xr:uid="{00000000-0005-0000-0000-00000B000000}"/>
    <cellStyle name="常规 5" xfId="14" xr:uid="{00000000-0005-0000-0000-00000C000000}"/>
    <cellStyle name="常规 5 2" xfId="4" xr:uid="{00000000-0005-0000-0000-00000D000000}"/>
    <cellStyle name="常规 6" xfId="3" xr:uid="{00000000-0005-0000-0000-00000E000000}"/>
    <cellStyle name="常规 7" xfId="15" xr:uid="{00000000-0005-0000-0000-00000F000000}"/>
    <cellStyle name="常规 8" xfId="16" xr:uid="{00000000-0005-0000-0000-000010000000}"/>
    <cellStyle name="常规 9" xfId="17" xr:uid="{00000000-0005-0000-0000-000011000000}"/>
    <cellStyle name="標準 102" xfId="2" xr:uid="{00000000-0005-0000-0000-000000000000}"/>
  </cellStyles>
  <dxfs count="249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4"/>
  <sheetViews>
    <sheetView topLeftCell="A49" workbookViewId="0">
      <selection activeCell="F97" sqref="F97"/>
    </sheetView>
  </sheetViews>
  <sheetFormatPr defaultColWidth="9" defaultRowHeight="15"/>
  <cols>
    <col min="2" max="2" width="9.42578125" customWidth="1"/>
    <col min="3" max="3" width="70.28515625" customWidth="1"/>
  </cols>
  <sheetData>
    <row r="1" spans="1:4">
      <c r="A1" s="152" t="s">
        <v>0</v>
      </c>
      <c r="B1" s="152"/>
      <c r="C1" s="152"/>
    </row>
    <row r="2" spans="1:4">
      <c r="A2" s="139" t="s">
        <v>1</v>
      </c>
      <c r="B2" s="139" t="s">
        <v>2</v>
      </c>
      <c r="C2" s="139" t="s">
        <v>3</v>
      </c>
    </row>
    <row r="3" spans="1:4" ht="16.5" customHeight="1">
      <c r="A3" s="140" t="s">
        <v>4</v>
      </c>
      <c r="B3" s="140">
        <v>20190611</v>
      </c>
      <c r="C3" s="140" t="s">
        <v>5</v>
      </c>
      <c r="D3" t="s">
        <v>6</v>
      </c>
    </row>
    <row r="4" spans="1:4">
      <c r="A4" s="140" t="s">
        <v>7</v>
      </c>
      <c r="B4" s="140">
        <v>20190717</v>
      </c>
      <c r="C4" s="140" t="s">
        <v>8</v>
      </c>
    </row>
    <row r="5" spans="1:4">
      <c r="A5" s="140" t="s">
        <v>9</v>
      </c>
      <c r="B5" s="140">
        <v>20190724</v>
      </c>
      <c r="C5" s="140" t="s">
        <v>8</v>
      </c>
    </row>
    <row r="6" spans="1:4">
      <c r="A6" s="140" t="s">
        <v>10</v>
      </c>
      <c r="B6" s="140">
        <v>20190725</v>
      </c>
      <c r="C6" s="140" t="s">
        <v>11</v>
      </c>
    </row>
    <row r="7" spans="1:4">
      <c r="A7" s="140" t="s">
        <v>12</v>
      </c>
      <c r="B7" s="140">
        <v>20190730</v>
      </c>
      <c r="C7" s="140" t="s">
        <v>13</v>
      </c>
    </row>
    <row r="8" spans="1:4">
      <c r="A8" s="140" t="s">
        <v>14</v>
      </c>
      <c r="B8" s="140">
        <v>20190807</v>
      </c>
      <c r="C8" s="140" t="s">
        <v>15</v>
      </c>
    </row>
    <row r="9" spans="1:4">
      <c r="A9" s="140" t="s">
        <v>16</v>
      </c>
      <c r="B9" s="140">
        <v>20190821</v>
      </c>
      <c r="C9" s="140" t="s">
        <v>17</v>
      </c>
    </row>
    <row r="10" spans="1:4">
      <c r="A10" s="140" t="s">
        <v>18</v>
      </c>
      <c r="B10" s="140">
        <v>20190923</v>
      </c>
      <c r="C10" s="140" t="s">
        <v>19</v>
      </c>
    </row>
    <row r="11" spans="1:4">
      <c r="A11" s="140" t="s">
        <v>20</v>
      </c>
      <c r="B11" s="140">
        <v>20191009</v>
      </c>
      <c r="C11" s="140" t="s">
        <v>21</v>
      </c>
    </row>
    <row r="12" spans="1:4">
      <c r="A12" s="140" t="s">
        <v>22</v>
      </c>
      <c r="B12" s="140">
        <v>20191012</v>
      </c>
      <c r="C12" s="140" t="s">
        <v>23</v>
      </c>
    </row>
    <row r="13" spans="1:4">
      <c r="A13" s="140" t="s">
        <v>24</v>
      </c>
      <c r="B13" s="140">
        <v>20191022</v>
      </c>
      <c r="C13" s="140" t="s">
        <v>25</v>
      </c>
    </row>
    <row r="14" spans="1:4">
      <c r="A14" s="140" t="s">
        <v>26</v>
      </c>
      <c r="B14" s="140">
        <v>20191028</v>
      </c>
      <c r="C14" s="140" t="s">
        <v>27</v>
      </c>
    </row>
    <row r="15" spans="1:4">
      <c r="A15" s="140" t="s">
        <v>28</v>
      </c>
      <c r="B15" s="140">
        <v>20191107</v>
      </c>
      <c r="C15" s="140" t="s">
        <v>29</v>
      </c>
    </row>
    <row r="16" spans="1:4">
      <c r="A16" s="140" t="s">
        <v>30</v>
      </c>
      <c r="B16" s="140">
        <v>20200210</v>
      </c>
      <c r="C16" s="140" t="s">
        <v>31</v>
      </c>
    </row>
    <row r="17" spans="1:3">
      <c r="A17" s="140" t="s">
        <v>32</v>
      </c>
      <c r="B17" s="140">
        <v>20200318</v>
      </c>
      <c r="C17" s="140" t="s">
        <v>33</v>
      </c>
    </row>
    <row r="18" spans="1:3">
      <c r="A18" s="140" t="s">
        <v>34</v>
      </c>
      <c r="B18" s="140">
        <v>20200320</v>
      </c>
      <c r="C18" s="140" t="s">
        <v>35</v>
      </c>
    </row>
    <row r="19" spans="1:3">
      <c r="A19" s="140" t="s">
        <v>36</v>
      </c>
      <c r="B19" s="140">
        <v>20200326</v>
      </c>
      <c r="C19" s="140" t="s">
        <v>35</v>
      </c>
    </row>
    <row r="20" spans="1:3">
      <c r="A20" s="140" t="s">
        <v>37</v>
      </c>
      <c r="B20" s="140">
        <v>20200414</v>
      </c>
      <c r="C20" s="140" t="s">
        <v>35</v>
      </c>
    </row>
    <row r="21" spans="1:3">
      <c r="A21" s="140" t="s">
        <v>38</v>
      </c>
      <c r="B21" s="140">
        <v>20200527</v>
      </c>
      <c r="C21" s="140" t="s">
        <v>39</v>
      </c>
    </row>
    <row r="22" spans="1:3">
      <c r="A22" s="140" t="s">
        <v>40</v>
      </c>
      <c r="B22" s="140">
        <v>20200528</v>
      </c>
      <c r="C22" s="140" t="s">
        <v>39</v>
      </c>
    </row>
    <row r="23" spans="1:3">
      <c r="A23" s="140" t="s">
        <v>41</v>
      </c>
      <c r="B23" s="140">
        <v>20200529</v>
      </c>
      <c r="C23" s="140" t="s">
        <v>42</v>
      </c>
    </row>
    <row r="24" spans="1:3">
      <c r="A24" s="140" t="s">
        <v>43</v>
      </c>
      <c r="B24" s="140">
        <v>20200603</v>
      </c>
      <c r="C24" s="140" t="s">
        <v>44</v>
      </c>
    </row>
    <row r="25" spans="1:3">
      <c r="A25" s="140" t="s">
        <v>45</v>
      </c>
      <c r="B25" s="140">
        <v>20200609</v>
      </c>
      <c r="C25" s="140" t="s">
        <v>46</v>
      </c>
    </row>
    <row r="26" spans="1:3">
      <c r="A26" s="140" t="s">
        <v>47</v>
      </c>
      <c r="B26" s="140">
        <v>20200820</v>
      </c>
      <c r="C26" s="140" t="s">
        <v>48</v>
      </c>
    </row>
    <row r="27" spans="1:3">
      <c r="A27" s="140" t="s">
        <v>49</v>
      </c>
      <c r="B27" s="140">
        <v>20201102</v>
      </c>
      <c r="C27" s="140" t="s">
        <v>50</v>
      </c>
    </row>
    <row r="28" spans="1:3">
      <c r="A28" s="140" t="s">
        <v>51</v>
      </c>
      <c r="B28" s="140">
        <v>20201102</v>
      </c>
      <c r="C28" s="140" t="s">
        <v>52</v>
      </c>
    </row>
    <row r="29" spans="1:3">
      <c r="A29" s="140" t="s">
        <v>53</v>
      </c>
      <c r="B29" s="140">
        <v>20201103</v>
      </c>
      <c r="C29" s="140" t="s">
        <v>52</v>
      </c>
    </row>
    <row r="30" spans="1:3">
      <c r="A30" s="140" t="s">
        <v>54</v>
      </c>
      <c r="B30" s="140">
        <v>20210316</v>
      </c>
      <c r="C30" s="140" t="s">
        <v>55</v>
      </c>
    </row>
    <row r="31" spans="1:3" ht="27">
      <c r="A31" s="140" t="s">
        <v>56</v>
      </c>
      <c r="B31" s="140">
        <v>20210321</v>
      </c>
      <c r="C31" s="140" t="s">
        <v>57</v>
      </c>
    </row>
    <row r="32" spans="1:3">
      <c r="A32" s="140" t="s">
        <v>58</v>
      </c>
      <c r="B32" s="140">
        <v>20210415</v>
      </c>
      <c r="C32" s="140" t="s">
        <v>59</v>
      </c>
    </row>
    <row r="33" spans="1:3">
      <c r="A33" s="140" t="s">
        <v>60</v>
      </c>
      <c r="B33" s="140">
        <v>20210623</v>
      </c>
      <c r="C33" s="140" t="s">
        <v>61</v>
      </c>
    </row>
    <row r="34" spans="1:3">
      <c r="A34" s="140" t="s">
        <v>62</v>
      </c>
      <c r="B34" s="140">
        <v>20210817</v>
      </c>
      <c r="C34" s="140" t="s">
        <v>63</v>
      </c>
    </row>
    <row r="35" spans="1:3">
      <c r="A35" s="140" t="s">
        <v>64</v>
      </c>
      <c r="B35" s="140">
        <v>20210902</v>
      </c>
      <c r="C35" s="140" t="s">
        <v>65</v>
      </c>
    </row>
    <row r="36" spans="1:3">
      <c r="A36" s="140" t="s">
        <v>66</v>
      </c>
      <c r="B36" s="140">
        <v>20211023</v>
      </c>
      <c r="C36" s="140" t="s">
        <v>67</v>
      </c>
    </row>
    <row r="37" spans="1:3">
      <c r="A37" s="140" t="s">
        <v>68</v>
      </c>
      <c r="B37" s="140">
        <v>20211109</v>
      </c>
      <c r="C37" s="140" t="s">
        <v>69</v>
      </c>
    </row>
    <row r="38" spans="1:3">
      <c r="A38" s="140" t="s">
        <v>70</v>
      </c>
      <c r="B38" s="140">
        <v>20211114</v>
      </c>
      <c r="C38" s="140" t="s">
        <v>71</v>
      </c>
    </row>
    <row r="39" spans="1:3">
      <c r="A39" s="140" t="s">
        <v>72</v>
      </c>
      <c r="B39" s="140">
        <v>20211227</v>
      </c>
      <c r="C39" s="140" t="s">
        <v>73</v>
      </c>
    </row>
    <row r="40" spans="1:3">
      <c r="A40" s="140" t="s">
        <v>74</v>
      </c>
      <c r="B40" s="140">
        <v>20211227</v>
      </c>
      <c r="C40" s="140" t="s">
        <v>75</v>
      </c>
    </row>
    <row r="41" spans="1:3">
      <c r="A41" s="140" t="s">
        <v>76</v>
      </c>
      <c r="B41" s="140">
        <v>20220301</v>
      </c>
      <c r="C41" s="140" t="s">
        <v>77</v>
      </c>
    </row>
    <row r="42" spans="1:3">
      <c r="A42" s="140" t="s">
        <v>78</v>
      </c>
      <c r="B42" s="140">
        <v>20220302</v>
      </c>
      <c r="C42" s="140" t="s">
        <v>77</v>
      </c>
    </row>
    <row r="43" spans="1:3" ht="27">
      <c r="A43" s="140" t="s">
        <v>79</v>
      </c>
      <c r="B43" s="140">
        <v>20220323</v>
      </c>
      <c r="C43" s="140" t="s">
        <v>80</v>
      </c>
    </row>
    <row r="44" spans="1:3">
      <c r="A44" s="140" t="s">
        <v>81</v>
      </c>
      <c r="B44" s="140">
        <v>20220424</v>
      </c>
      <c r="C44" s="140" t="s">
        <v>82</v>
      </c>
    </row>
    <row r="45" spans="1:3">
      <c r="A45" s="140" t="s">
        <v>83</v>
      </c>
      <c r="B45" s="140">
        <v>20220506</v>
      </c>
      <c r="C45" s="140" t="s">
        <v>84</v>
      </c>
    </row>
    <row r="46" spans="1:3">
      <c r="A46" s="140" t="s">
        <v>85</v>
      </c>
      <c r="B46" s="140">
        <v>20220517</v>
      </c>
      <c r="C46" s="140" t="s">
        <v>86</v>
      </c>
    </row>
    <row r="47" spans="1:3">
      <c r="A47" s="140" t="s">
        <v>87</v>
      </c>
      <c r="B47" s="140">
        <v>20220520</v>
      </c>
      <c r="C47" s="140" t="s">
        <v>71</v>
      </c>
    </row>
    <row r="48" spans="1:3">
      <c r="A48" s="140" t="s">
        <v>88</v>
      </c>
      <c r="B48" s="140">
        <v>20220527</v>
      </c>
      <c r="C48" s="140" t="s">
        <v>89</v>
      </c>
    </row>
    <row r="49" spans="1:3">
      <c r="A49" s="140" t="s">
        <v>90</v>
      </c>
      <c r="B49" s="140">
        <v>20220531</v>
      </c>
      <c r="C49" s="140" t="s">
        <v>91</v>
      </c>
    </row>
    <row r="50" spans="1:3">
      <c r="A50" s="140" t="s">
        <v>92</v>
      </c>
      <c r="B50" s="140">
        <v>20220604</v>
      </c>
      <c r="C50" s="140" t="s">
        <v>91</v>
      </c>
    </row>
    <row r="51" spans="1:3">
      <c r="A51" s="140" t="s">
        <v>93</v>
      </c>
      <c r="B51" s="140">
        <v>20220608</v>
      </c>
      <c r="C51" s="140" t="s">
        <v>94</v>
      </c>
    </row>
    <row r="52" spans="1:3">
      <c r="A52" s="140" t="s">
        <v>95</v>
      </c>
      <c r="B52" s="140">
        <v>20220620</v>
      </c>
      <c r="C52" s="140" t="s">
        <v>96</v>
      </c>
    </row>
    <row r="53" spans="1:3">
      <c r="A53" s="140" t="s">
        <v>97</v>
      </c>
      <c r="B53" s="140">
        <v>20220622</v>
      </c>
      <c r="C53" s="140" t="s">
        <v>98</v>
      </c>
    </row>
    <row r="54" spans="1:3">
      <c r="A54" s="140" t="s">
        <v>99</v>
      </c>
      <c r="B54" s="140">
        <v>20220628</v>
      </c>
      <c r="C54" s="140" t="s">
        <v>75</v>
      </c>
    </row>
    <row r="55" spans="1:3">
      <c r="A55" s="140" t="s">
        <v>100</v>
      </c>
      <c r="B55" s="140">
        <v>20220712</v>
      </c>
      <c r="C55" s="140" t="s">
        <v>101</v>
      </c>
    </row>
    <row r="56" spans="1:3">
      <c r="A56" s="140" t="s">
        <v>102</v>
      </c>
      <c r="B56" s="140">
        <v>20220721</v>
      </c>
      <c r="C56" s="140" t="s">
        <v>103</v>
      </c>
    </row>
    <row r="57" spans="1:3">
      <c r="A57" s="140" t="s">
        <v>104</v>
      </c>
      <c r="B57" s="140">
        <v>20220801</v>
      </c>
      <c r="C57" s="140" t="s">
        <v>105</v>
      </c>
    </row>
    <row r="58" spans="1:3">
      <c r="A58" s="140" t="s">
        <v>106</v>
      </c>
      <c r="B58" s="140">
        <v>20220810</v>
      </c>
      <c r="C58" s="140" t="s">
        <v>107</v>
      </c>
    </row>
    <row r="59" spans="1:3">
      <c r="A59" s="140" t="s">
        <v>108</v>
      </c>
      <c r="B59" s="140">
        <v>20220902</v>
      </c>
      <c r="C59" s="140" t="s">
        <v>109</v>
      </c>
    </row>
    <row r="60" spans="1:3">
      <c r="A60" s="140" t="s">
        <v>110</v>
      </c>
      <c r="B60" s="141">
        <v>20220907</v>
      </c>
      <c r="C60" s="141" t="s">
        <v>111</v>
      </c>
    </row>
    <row r="61" spans="1:3">
      <c r="A61" s="140" t="s">
        <v>112</v>
      </c>
      <c r="B61" s="141">
        <v>20221018</v>
      </c>
      <c r="C61" s="141" t="s">
        <v>113</v>
      </c>
    </row>
    <row r="62" spans="1:3">
      <c r="A62" s="140" t="s">
        <v>114</v>
      </c>
      <c r="B62" s="141">
        <v>20221026</v>
      </c>
      <c r="C62" s="141" t="s">
        <v>115</v>
      </c>
    </row>
    <row r="63" spans="1:3">
      <c r="A63" s="140" t="s">
        <v>116</v>
      </c>
      <c r="B63" s="141">
        <v>20221114</v>
      </c>
      <c r="C63" s="141" t="s">
        <v>117</v>
      </c>
    </row>
    <row r="64" spans="1:3">
      <c r="A64" s="140" t="s">
        <v>118</v>
      </c>
      <c r="B64" s="141">
        <v>20221205</v>
      </c>
      <c r="C64" s="141" t="s">
        <v>21</v>
      </c>
    </row>
    <row r="65" spans="1:3">
      <c r="A65" s="140" t="s">
        <v>119</v>
      </c>
      <c r="B65" s="141">
        <v>20230103</v>
      </c>
      <c r="C65" s="141" t="s">
        <v>17</v>
      </c>
    </row>
    <row r="66" spans="1:3">
      <c r="A66" s="142" t="s">
        <v>120</v>
      </c>
      <c r="B66" s="141">
        <v>20230109</v>
      </c>
      <c r="C66" s="141" t="s">
        <v>121</v>
      </c>
    </row>
    <row r="67" spans="1:3">
      <c r="A67" s="142" t="s">
        <v>122</v>
      </c>
      <c r="B67" s="141">
        <v>20230114</v>
      </c>
      <c r="C67" s="141" t="s">
        <v>123</v>
      </c>
    </row>
    <row r="68" spans="1:3">
      <c r="A68" s="142" t="s">
        <v>124</v>
      </c>
      <c r="B68" s="141">
        <v>20230301</v>
      </c>
      <c r="C68" s="141" t="s">
        <v>125</v>
      </c>
    </row>
    <row r="69" spans="1:3">
      <c r="A69" s="142" t="s">
        <v>126</v>
      </c>
      <c r="B69" s="141">
        <v>20230320</v>
      </c>
      <c r="C69" s="141" t="s">
        <v>127</v>
      </c>
    </row>
    <row r="70" spans="1:3">
      <c r="A70" s="142" t="s">
        <v>128</v>
      </c>
      <c r="B70" s="141">
        <v>20230411</v>
      </c>
      <c r="C70" s="141" t="s">
        <v>129</v>
      </c>
    </row>
    <row r="71" spans="1:3">
      <c r="A71" s="142" t="s">
        <v>130</v>
      </c>
      <c r="B71" s="141">
        <v>20230523</v>
      </c>
      <c r="C71" s="141" t="s">
        <v>131</v>
      </c>
    </row>
    <row r="72" spans="1:3">
      <c r="A72" s="142" t="s">
        <v>132</v>
      </c>
      <c r="B72" s="141">
        <v>20230525</v>
      </c>
      <c r="C72" s="141" t="s">
        <v>133</v>
      </c>
    </row>
    <row r="73" spans="1:3">
      <c r="A73" s="142" t="s">
        <v>134</v>
      </c>
      <c r="B73" s="141">
        <v>20230620</v>
      </c>
      <c r="C73" s="141" t="s">
        <v>135</v>
      </c>
    </row>
    <row r="74" spans="1:3">
      <c r="A74" s="142" t="s">
        <v>136</v>
      </c>
      <c r="B74" s="141">
        <v>20230703</v>
      </c>
      <c r="C74" s="141" t="s">
        <v>137</v>
      </c>
    </row>
    <row r="75" spans="1:3" ht="27">
      <c r="A75" s="142" t="s">
        <v>138</v>
      </c>
      <c r="B75" s="141">
        <v>20230725</v>
      </c>
      <c r="C75" s="141" t="s">
        <v>139</v>
      </c>
    </row>
    <row r="76" spans="1:3">
      <c r="A76" s="142" t="s">
        <v>140</v>
      </c>
      <c r="B76" s="141">
        <v>20230801</v>
      </c>
      <c r="C76" s="141" t="s">
        <v>141</v>
      </c>
    </row>
    <row r="77" spans="1:3">
      <c r="A77" s="142" t="s">
        <v>142</v>
      </c>
      <c r="B77" s="141">
        <v>20230810</v>
      </c>
      <c r="C77" s="141" t="s">
        <v>143</v>
      </c>
    </row>
    <row r="78" spans="1:3">
      <c r="A78" s="142" t="s">
        <v>144</v>
      </c>
      <c r="B78" s="141">
        <v>20230814</v>
      </c>
      <c r="C78" s="141" t="s">
        <v>145</v>
      </c>
    </row>
    <row r="79" spans="1:3">
      <c r="A79" s="141" t="s">
        <v>146</v>
      </c>
      <c r="B79" s="141">
        <v>20230831</v>
      </c>
      <c r="C79" s="141" t="s">
        <v>147</v>
      </c>
    </row>
    <row r="80" spans="1:3">
      <c r="A80" s="141" t="s">
        <v>148</v>
      </c>
      <c r="B80" s="141">
        <v>20230912</v>
      </c>
      <c r="C80" s="141" t="s">
        <v>149</v>
      </c>
    </row>
    <row r="81" spans="1:3">
      <c r="A81" s="141" t="s">
        <v>150</v>
      </c>
      <c r="B81" s="141">
        <v>20230912</v>
      </c>
      <c r="C81" s="141" t="s">
        <v>151</v>
      </c>
    </row>
    <row r="82" spans="1:3">
      <c r="A82" s="141" t="s">
        <v>152</v>
      </c>
      <c r="B82" s="141">
        <v>20230922</v>
      </c>
      <c r="C82" s="141" t="s">
        <v>153</v>
      </c>
    </row>
    <row r="83" spans="1:3">
      <c r="A83" s="141" t="s">
        <v>154</v>
      </c>
      <c r="B83" s="141">
        <v>20231013</v>
      </c>
      <c r="C83" s="141" t="s">
        <v>155</v>
      </c>
    </row>
    <row r="84" spans="1:3">
      <c r="A84" s="141" t="s">
        <v>156</v>
      </c>
      <c r="B84" s="141">
        <v>20231026</v>
      </c>
      <c r="C84" s="141" t="s">
        <v>157</v>
      </c>
    </row>
    <row r="85" spans="1:3">
      <c r="A85" s="141" t="s">
        <v>158</v>
      </c>
      <c r="B85" s="141">
        <v>20231030</v>
      </c>
      <c r="C85" s="141" t="s">
        <v>159</v>
      </c>
    </row>
    <row r="86" spans="1:3">
      <c r="A86" s="141" t="s">
        <v>160</v>
      </c>
      <c r="B86" s="141">
        <v>20231120</v>
      </c>
      <c r="C86" s="141" t="s">
        <v>82</v>
      </c>
    </row>
    <row r="87" spans="1:3">
      <c r="A87" s="141" t="s">
        <v>161</v>
      </c>
      <c r="B87" s="141">
        <v>20231218</v>
      </c>
      <c r="C87" s="141" t="s">
        <v>82</v>
      </c>
    </row>
    <row r="88" spans="1:3">
      <c r="A88" s="141" t="s">
        <v>162</v>
      </c>
      <c r="B88" s="141">
        <v>20231218</v>
      </c>
      <c r="C88" s="141" t="s">
        <v>123</v>
      </c>
    </row>
    <row r="89" spans="1:3">
      <c r="A89" s="141" t="s">
        <v>163</v>
      </c>
      <c r="B89" s="141">
        <v>20240126</v>
      </c>
      <c r="C89" s="140" t="s">
        <v>423</v>
      </c>
    </row>
    <row r="90" spans="1:3">
      <c r="A90" s="141" t="s">
        <v>164</v>
      </c>
      <c r="B90" s="141">
        <v>20240126</v>
      </c>
      <c r="C90" s="140" t="s">
        <v>421</v>
      </c>
    </row>
    <row r="91" spans="1:3">
      <c r="A91" s="140" t="s">
        <v>422</v>
      </c>
      <c r="B91" s="141">
        <v>20240314</v>
      </c>
      <c r="C91" s="140" t="s">
        <v>424</v>
      </c>
    </row>
    <row r="92" spans="1:3">
      <c r="A92" s="140" t="s">
        <v>425</v>
      </c>
      <c r="B92" s="141">
        <v>20240326</v>
      </c>
      <c r="C92" s="140" t="s">
        <v>426</v>
      </c>
    </row>
    <row r="93" spans="1:3">
      <c r="A93" s="140" t="s">
        <v>427</v>
      </c>
      <c r="B93" s="141">
        <v>20240329</v>
      </c>
      <c r="C93" s="140" t="s">
        <v>446</v>
      </c>
    </row>
    <row r="94" spans="1:3">
      <c r="A94" s="140" t="s">
        <v>436</v>
      </c>
      <c r="B94" s="140">
        <v>20240401</v>
      </c>
      <c r="C94" s="140" t="s">
        <v>445</v>
      </c>
    </row>
  </sheetData>
  <mergeCells count="1">
    <mergeCell ref="A1:C1"/>
  </mergeCells>
  <phoneticPr fontId="21" type="noConversion"/>
  <pageMargins left="0.7" right="0.7" top="0.75" bottom="0.75" header="0.3" footer="0.3"/>
  <pageSetup paperSize="9" orientation="portrait" horizontalDpi="1200" verticalDpi="12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8"/>
  <sheetViews>
    <sheetView workbookViewId="0">
      <selection activeCell="C19" sqref="C19"/>
    </sheetView>
  </sheetViews>
  <sheetFormatPr defaultColWidth="9" defaultRowHeight="15"/>
  <cols>
    <col min="1" max="1" width="37.5703125" customWidth="1"/>
    <col min="2" max="2" width="17.140625" customWidth="1"/>
    <col min="3" max="3" width="73.5703125" customWidth="1"/>
    <col min="5" max="5" width="20" customWidth="1"/>
    <col min="6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hidden="1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1440</v>
      </c>
      <c r="C2" s="5" t="str">
        <f>IF(OR(B4=2,B5=2),IF(B2=720,"","The width must equal to 720"),IF(OR(B2&gt;1440/B6,B2&lt;16),LOOKUP(B6,F3:F5,I3:I5),""))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1080</v>
      </c>
      <c r="C3" s="5" t="str">
        <f>IF(OR(B4=2,B5=2),IF(B3=540,"","The height must equal to 540"),IF(OR(B3&gt;1080/B7,B3&lt;2),LOOKUP(B7,F3:F5,J3:J5),""))</f>
        <v/>
      </c>
      <c r="D3" s="2"/>
      <c r="E3" s="2"/>
      <c r="F3" s="2">
        <v>1</v>
      </c>
      <c r="G3" s="2">
        <v>1440</v>
      </c>
      <c r="H3" s="2">
        <v>1080</v>
      </c>
      <c r="I3" s="2" t="s">
        <v>236</v>
      </c>
      <c r="J3" s="2" t="s">
        <v>237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720</v>
      </c>
      <c r="H4" s="2">
        <v>540</v>
      </c>
      <c r="I4" s="2" t="s">
        <v>239</v>
      </c>
      <c r="J4" s="2" t="s">
        <v>186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360</v>
      </c>
      <c r="H5" s="2">
        <v>270</v>
      </c>
      <c r="I5" s="2" t="s">
        <v>241</v>
      </c>
      <c r="J5" s="2" t="s">
        <v>189</v>
      </c>
    </row>
    <row r="6" spans="1:10">
      <c r="A6" s="6" t="s">
        <v>187</v>
      </c>
      <c r="B6" s="7">
        <v>1</v>
      </c>
      <c r="C6" s="5" t="str">
        <f>IF(AND(B6&gt;1,B4&gt;1),"The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IF(AND(B7&gt;1,B5&gt;1),"The vertical binning and skipping are not set to be greater than 2 at the same time","")</f>
        <v/>
      </c>
      <c r="D7" s="2"/>
      <c r="E7" s="2"/>
      <c r="F7" s="2"/>
      <c r="G7" s="2">
        <v>1440</v>
      </c>
      <c r="H7" s="2">
        <v>1080</v>
      </c>
      <c r="I7" s="2"/>
      <c r="J7" s="2"/>
    </row>
    <row r="8" spans="1:10">
      <c r="A8" s="6" t="s">
        <v>196</v>
      </c>
      <c r="B8" s="7" t="s">
        <v>197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168</v>
      </c>
      <c r="B9" s="7">
        <v>10000</v>
      </c>
      <c r="C9" s="5" t="str">
        <f>IF(AND(B8="UltraShort",B9&gt;100),"exposure time of ultrashort should not be more than 100us!",IF(AND(B8="Standard",B9&lt;20),"exposure time of standard should not be less than 20us!",""))</f>
        <v/>
      </c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200</v>
      </c>
      <c r="B10" s="7">
        <v>8</v>
      </c>
      <c r="C10" s="2"/>
      <c r="D10" s="2"/>
      <c r="E10" s="2"/>
      <c r="F10" s="2">
        <v>1</v>
      </c>
      <c r="G10" s="2">
        <v>1440</v>
      </c>
      <c r="H10" s="2">
        <v>1080</v>
      </c>
      <c r="I10" s="2" t="s">
        <v>242</v>
      </c>
      <c r="J10" s="2" t="s">
        <v>243</v>
      </c>
    </row>
    <row r="11" spans="1:10">
      <c r="A11" s="3" t="s">
        <v>201</v>
      </c>
      <c r="B11" s="7" t="s">
        <v>202</v>
      </c>
      <c r="C11" s="5" t="str">
        <f>IF(AND(B10=F26,B11="Bpp12"),I26,IF(AND(B10=F27,B11&lt;&gt;"Bpp10"),I27,IF(AND(B10=F28,B11&lt;&gt;"Bpp12"),I28,"")))</f>
        <v/>
      </c>
      <c r="D11" s="2"/>
      <c r="E11" s="2"/>
      <c r="F11" s="2">
        <v>2</v>
      </c>
      <c r="G11" s="2">
        <v>720</v>
      </c>
      <c r="H11" s="2">
        <v>540</v>
      </c>
      <c r="I11" s="2" t="s">
        <v>185</v>
      </c>
      <c r="J11" s="2" t="s">
        <v>244</v>
      </c>
    </row>
    <row r="12" spans="1:10">
      <c r="A12" s="3" t="s">
        <v>170</v>
      </c>
      <c r="B12" s="7">
        <v>300000000</v>
      </c>
      <c r="C12" s="2"/>
      <c r="D12" s="2"/>
      <c r="E12" s="2"/>
      <c r="F12" s="2">
        <v>4</v>
      </c>
      <c r="G12" s="2">
        <v>360</v>
      </c>
      <c r="H12" s="2">
        <v>270</v>
      </c>
      <c r="I12" s="2" t="s">
        <v>188</v>
      </c>
      <c r="J12" s="2" t="s">
        <v>245</v>
      </c>
    </row>
    <row r="13" spans="1:10" hidden="1">
      <c r="A13" s="3"/>
      <c r="B13" s="7"/>
      <c r="C13" s="2"/>
      <c r="D13" s="2"/>
      <c r="E13" s="2"/>
      <c r="F13" s="2"/>
      <c r="G13" s="2"/>
      <c r="H13" s="2"/>
      <c r="I13" s="2" t="s">
        <v>194</v>
      </c>
      <c r="J13" s="2"/>
    </row>
    <row r="14" spans="1:10" hidden="1">
      <c r="A14" s="3" t="s">
        <v>171</v>
      </c>
      <c r="B14" s="7">
        <f>IF(B8="Standard",MAX(ROUNDUP((B9-I23)/B17,0),1),IF(B9&gt;14,ROUNDUP((B9-I23),0),1))</f>
        <v>2794</v>
      </c>
      <c r="C14" s="2"/>
      <c r="D14" s="2"/>
      <c r="E14" s="2"/>
      <c r="F14" s="2"/>
      <c r="G14" s="2">
        <v>1440</v>
      </c>
      <c r="H14" s="2">
        <v>1080</v>
      </c>
      <c r="I14" s="2"/>
      <c r="J14" s="2"/>
    </row>
    <row r="15" spans="1:10" hidden="1">
      <c r="A15" s="3" t="s">
        <v>172</v>
      </c>
      <c r="B15" s="7" t="str">
        <f>IF((B10&lt;=8),"1","2")</f>
        <v>1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173</v>
      </c>
      <c r="B16" s="7">
        <f>B2*B3*B15+84</f>
        <v>1555284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174</v>
      </c>
      <c r="B17" s="7">
        <f>ROUNDUP(IF(B10=8,I17/37.5,2*I17/37.5)*1000,10)/1000</f>
        <v>3.5750000000000002</v>
      </c>
      <c r="C17" s="5"/>
      <c r="D17" s="2"/>
      <c r="E17" s="2"/>
      <c r="F17" s="2"/>
      <c r="G17" s="2"/>
      <c r="H17" s="2" t="s">
        <v>210</v>
      </c>
      <c r="I17" s="2">
        <f>IF(AND(B10=8,B11="Bpp8"),IF(OR(B4=2,B5=2),112.5,134.0625),IF(OR(B4=2,B5=2),127.5,147.1875))</f>
        <v>134.0625</v>
      </c>
      <c r="J17" s="2"/>
    </row>
    <row r="18" spans="1:10" hidden="1">
      <c r="A18" s="3" t="s">
        <v>175</v>
      </c>
      <c r="B18" s="7">
        <f>IF(B8="Standard",(B3*B7+42)*B17,ROUNDUP((B3*B7+42)*B17,0)+10)</f>
        <v>4011.15</v>
      </c>
      <c r="D18" s="2"/>
      <c r="E18" s="2"/>
      <c r="F18" s="2"/>
      <c r="G18" s="2"/>
      <c r="H18" s="2"/>
      <c r="I18" s="2"/>
      <c r="J18" s="2"/>
    </row>
    <row r="19" spans="1:10">
      <c r="A19" s="3" t="s">
        <v>176</v>
      </c>
      <c r="B19" s="7" t="s">
        <v>177</v>
      </c>
      <c r="D19" s="2"/>
      <c r="E19" s="2"/>
      <c r="F19" s="2"/>
      <c r="G19" s="2"/>
      <c r="H19" s="2" t="s">
        <v>211</v>
      </c>
      <c r="I19" s="2">
        <f>IF(B8="Standard",ROUNDUP((B14+18)*B17,0),B14+ROUNDUP((B3*B7+42)*B17+10,0)+ROUNDUP(I23,0))</f>
        <v>10053</v>
      </c>
      <c r="J19" s="2"/>
    </row>
    <row r="20" spans="1:10">
      <c r="A20" s="3" t="s">
        <v>178</v>
      </c>
      <c r="B20" s="7">
        <v>249</v>
      </c>
      <c r="H20" t="s">
        <v>212</v>
      </c>
      <c r="I20" s="2">
        <f>IF(B8="Standard",ROUNDUP((B3*B7+42)*B17,0),ROUNDUP((B3*B7+42)*B17,0)+10)</f>
        <v>4012</v>
      </c>
    </row>
    <row r="21" spans="1:10" hidden="1">
      <c r="A21" s="6" t="s">
        <v>262</v>
      </c>
      <c r="B21" s="95">
        <f>MAX(I19,I20,I21,I22)</f>
        <v>10053</v>
      </c>
      <c r="H21" s="2" t="s">
        <v>213</v>
      </c>
      <c r="I21">
        <f>IF(B8="Standard",ROUNDUP(ROUNDUP(MAX(B16*1000000/B12/B17,B16*1000000/395000000/B17),0)*B17,0),ROUNDUP(MAX(B16*1000000/B12,B16*1000000/395000000),0))</f>
        <v>5188</v>
      </c>
    </row>
    <row r="22" spans="1:10">
      <c r="A22" s="155" t="s">
        <v>180</v>
      </c>
      <c r="B22" s="156"/>
      <c r="C22" s="19" t="str">
        <f>IF(OR(B3&gt;1080/B7,B3&lt;2,AND(B3&lt;&gt;540,B5=2),B2&gt;1440/B6,B2&lt;16,AND(B2&lt;&gt;720,B4=2),),I6,"")</f>
        <v/>
      </c>
      <c r="H22" s="2" t="s">
        <v>214</v>
      </c>
      <c r="I22">
        <f>IF(B8="Standard",B17*(IF(B19="off",0,1))*ROUNDUP(1000*1000/(B17*B20),0),(IF(B19="off",0,1))*ROUNDUP(1000*1000/B20,0))</f>
        <v>0</v>
      </c>
    </row>
    <row r="23" spans="1:10" ht="22.5">
      <c r="A23" s="11" t="s">
        <v>181</v>
      </c>
      <c r="B23" s="12">
        <f>1000000/B21</f>
        <v>99.472794190788818</v>
      </c>
      <c r="H23" s="2" t="s">
        <v>215</v>
      </c>
      <c r="I23">
        <f>IF(AND(B8="UltraShort",B9&lt;=13),13.31,14.26)</f>
        <v>14.26</v>
      </c>
    </row>
    <row r="25" spans="1:10">
      <c r="F25" s="2" t="s">
        <v>203</v>
      </c>
      <c r="G25" s="2" t="s">
        <v>204</v>
      </c>
      <c r="H25" s="2"/>
      <c r="I25" s="2"/>
    </row>
    <row r="26" spans="1:10">
      <c r="F26" s="2">
        <v>8</v>
      </c>
      <c r="G26" s="2" t="s">
        <v>202</v>
      </c>
      <c r="H26" s="2" t="s">
        <v>205</v>
      </c>
      <c r="I26" s="2" t="s">
        <v>206</v>
      </c>
    </row>
    <row r="27" spans="1:10">
      <c r="F27" s="2">
        <v>10</v>
      </c>
      <c r="G27" s="2" t="s">
        <v>205</v>
      </c>
      <c r="H27" s="2"/>
      <c r="I27" s="2" t="s">
        <v>207</v>
      </c>
    </row>
    <row r="28" spans="1:10">
      <c r="F28" s="2">
        <v>12</v>
      </c>
      <c r="G28" s="2" t="s">
        <v>208</v>
      </c>
      <c r="H28" s="2"/>
      <c r="I28" s="2" t="s">
        <v>209</v>
      </c>
    </row>
  </sheetData>
  <sheetProtection algorithmName="SHA-512" hashValue="C851zMHNXPq//NoF7ihHFl7ELjajoTk4DhjHPecHwRlXTdKVP6o4BnexS3wDF+PYaz93O5nzP5k4AYeGXCQv8w==" saltValue="EuZJwqLSy8Yut/O9nmBvHA==" spinCount="100000" sheet="1" objects="1" scenarios="1"/>
  <mergeCells count="2">
    <mergeCell ref="A1:B1"/>
    <mergeCell ref="A22:B22"/>
  </mergeCells>
  <phoneticPr fontId="21" type="noConversion"/>
  <conditionalFormatting sqref="B2">
    <cfRule type="cellIs" dxfId="212" priority="2" operator="notBetween">
      <formula>16</formula>
      <formula>$G$14</formula>
    </cfRule>
    <cfRule type="cellIs" dxfId="211" priority="4" operator="notBetween">
      <formula>16</formula>
      <formula>$G$7</formula>
    </cfRule>
  </conditionalFormatting>
  <conditionalFormatting sqref="B3">
    <cfRule type="cellIs" dxfId="210" priority="1" operator="notBetween">
      <formula>2</formula>
      <formula>$H$7</formula>
    </cfRule>
    <cfRule type="cellIs" dxfId="209" priority="3" operator="notBetween">
      <formula>2</formula>
      <formula>$H$14</formula>
    </cfRule>
  </conditionalFormatting>
  <conditionalFormatting sqref="B6">
    <cfRule type="expression" dxfId="208" priority="5">
      <formula>AND(#REF!&gt;1,B6&gt;1)</formula>
    </cfRule>
  </conditionalFormatting>
  <conditionalFormatting sqref="B7">
    <cfRule type="expression" dxfId="207" priority="6">
      <formula>AND(B7&gt;1,#REF!&gt;1)</formula>
    </cfRule>
  </conditionalFormatting>
  <dataValidations count="12">
    <dataValidation type="custom" allowBlank="1" showInputMessage="1" showErrorMessage="1" errorTitle="Input parameter error" error="Input parameter error,Input range from 16 to 1440,and is an integer multiple of 8" sqref="B2" xr:uid="{00000000-0002-0000-0900-000000000000}">
      <formula1>AND(MOD(B2,8)=0,B2&gt;=16,B2&lt;=1440/B6)</formula1>
    </dataValidation>
    <dataValidation type="custom" allowBlank="1" showInputMessage="1" showErrorMessage="1" errorTitle="Input parameter error" error="Input parameter error,Input range from 2 to 1080,and is an integer multiple of 2" sqref="B3" xr:uid="{00000000-0002-0000-0900-000001000000}">
      <formula1>AND(MOD(B3,2)=0,B3&gt;=2,B3&lt;=1080/B7)</formula1>
    </dataValidation>
    <dataValidation type="list" allowBlank="1" showInputMessage="1" showErrorMessage="1" errorTitle="参数输入错误" error="请输入Bpp8或者Bpp10或者Bpp12" sqref="B11" xr:uid="{00000000-0002-0000-0900-000002000000}">
      <formula1>"Bpp8,Bpp10,Bpp12"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 xr:uid="{00000000-0002-0000-0900-000003000000}">
      <formula1>OR(AND(B8="UltraShort",B9&gt;=1,B9&lt;=100),AND(B8="Standard",B9&gt;=20,B9&lt;=1000000))</formula1>
    </dataValidation>
    <dataValidation type="list" allowBlank="1" showInputMessage="1" showErrorMessage="1" errorTitle="Input parameter error" error="Input range is 1,2" sqref="B4" xr:uid="{00000000-0002-0000-0900-000004000000}">
      <formula1>"1,2"</formula1>
    </dataValidation>
    <dataValidation type="list" allowBlank="1" showInputMessage="1" showErrorMessage="1" errorTitle="Input parameter error" error="Input parameter error,Input range from 64 to 2048,and is an integer multiple of 2" sqref="B5" xr:uid="{00000000-0002-0000-0900-000005000000}">
      <formula1>"1,2"</formula1>
    </dataValidation>
    <dataValidation type="list" allowBlank="1" showInputMessage="1" showErrorMessage="1" errorTitle="Input parameter error" error="Input Standard or UltraShort" sqref="B8" xr:uid="{00000000-0002-0000-0900-000006000000}">
      <formula1>"Standard,UltraShort"</formula1>
    </dataValidation>
    <dataValidation type="list" allowBlank="1" showInputMessage="1" showErrorMessage="1" errorTitle="Input parameter error" error="Input 8 or 10" sqref="B10" xr:uid="{00000000-0002-0000-0900-000007000000}">
      <formula1>"8,10,12"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2" xr:uid="{00000000-0002-0000-0900-000008000000}">
      <formula1>OR(AND(B10=8,B12&gt;=35000000,B12&lt;=400000000,MOD(B12,1000000)=0),AND(OR(B10=10,B10=12),B12&gt;=70000000,B12&lt;=400000000,MOD(B12,1000000)=0))</formula1>
    </dataValidation>
    <dataValidation type="list" allowBlank="1" showInputMessage="1" showErrorMessage="1" errorTitle="Input parameter error" error="Input on or off" sqref="B19" xr:uid="{00000000-0002-0000-0900-000009000000}">
      <formula1>"on,off"</formula1>
    </dataValidation>
    <dataValidation type="custom" allowBlank="1" showInputMessage="1" showErrorMessage="1" errorTitle="Input parameter error" error="Input range from 0.1 to 10000,step 0.1" sqref="B20" xr:uid="{00000000-0002-0000-0900-00000A000000}">
      <formula1>AND(MOD(10*B20,1)=0,B20&gt;=0.1,B20&lt;=10000)</formula1>
    </dataValidation>
    <dataValidation type="list" allowBlank="1" showInputMessage="1" showErrorMessage="1" errorTitle="Input parameter error" error="Input range is 1,2,4" sqref="B6:B7" xr:uid="{00000000-0002-0000-0900-00000B000000}">
      <formula1>"1,2,4"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33"/>
  <sheetViews>
    <sheetView workbookViewId="0">
      <selection activeCell="B21" sqref="B21"/>
    </sheetView>
  </sheetViews>
  <sheetFormatPr defaultColWidth="9" defaultRowHeight="15"/>
  <cols>
    <col min="1" max="1" width="39.28515625" customWidth="1"/>
    <col min="2" max="2" width="28.85546875" customWidth="1"/>
  </cols>
  <sheetData>
    <row r="1" spans="1:2">
      <c r="A1" s="153" t="s">
        <v>165</v>
      </c>
      <c r="B1" s="154"/>
    </row>
    <row r="2" spans="1:2">
      <c r="A2" s="3" t="s">
        <v>166</v>
      </c>
      <c r="B2" s="4">
        <v>1440</v>
      </c>
    </row>
    <row r="3" spans="1:2">
      <c r="A3" s="3" t="s">
        <v>167</v>
      </c>
      <c r="B3" s="4">
        <v>1080</v>
      </c>
    </row>
    <row r="4" spans="1:2">
      <c r="A4" s="3" t="s">
        <v>168</v>
      </c>
      <c r="B4" s="7">
        <v>10000</v>
      </c>
    </row>
    <row r="5" spans="1:2">
      <c r="A5" s="3" t="s">
        <v>169</v>
      </c>
      <c r="B5" s="7">
        <v>8</v>
      </c>
    </row>
    <row r="6" spans="1:2">
      <c r="A6" s="3" t="s">
        <v>170</v>
      </c>
      <c r="B6" s="7">
        <v>200000000</v>
      </c>
    </row>
    <row r="7" spans="1:2" hidden="1">
      <c r="A7" s="3"/>
      <c r="B7" s="7"/>
    </row>
    <row r="8" spans="1:2" hidden="1">
      <c r="A8" s="3" t="s">
        <v>171</v>
      </c>
      <c r="B8" s="7">
        <f>MAX(ROUNDUP((B4*1000-14260)/B11,0),1)</f>
        <v>679</v>
      </c>
    </row>
    <row r="9" spans="1:2" hidden="1">
      <c r="A9" s="3" t="s">
        <v>172</v>
      </c>
      <c r="B9" s="7" t="str">
        <f>IF((B5&lt;=8),"1","2")</f>
        <v>1</v>
      </c>
    </row>
    <row r="10" spans="1:2" hidden="1">
      <c r="A10" s="3" t="s">
        <v>173</v>
      </c>
      <c r="B10" s="7">
        <f>B2*B3*B9+84</f>
        <v>1555284</v>
      </c>
    </row>
    <row r="11" spans="1:2" hidden="1">
      <c r="A11" s="3" t="s">
        <v>174</v>
      </c>
      <c r="B11" s="7">
        <f>MIN((IF(B33&lt;552,552,IF(B33&gt;1656,1656,B33))),B32)*1000000*B9/37500</f>
        <v>14720</v>
      </c>
    </row>
    <row r="12" spans="1:2" hidden="1">
      <c r="A12" s="3" t="s">
        <v>175</v>
      </c>
      <c r="B12" s="7">
        <f>(B3+30)*B11</f>
        <v>16339200</v>
      </c>
    </row>
    <row r="13" spans="1:2">
      <c r="A13" s="3" t="s">
        <v>176</v>
      </c>
      <c r="B13" s="7" t="s">
        <v>177</v>
      </c>
    </row>
    <row r="14" spans="1:2">
      <c r="A14" s="3" t="s">
        <v>178</v>
      </c>
      <c r="B14" s="7">
        <v>61.3</v>
      </c>
    </row>
    <row r="15" spans="1:2" hidden="1">
      <c r="A15" s="6" t="s">
        <v>179</v>
      </c>
      <c r="B15" s="95">
        <f>MAX(ROUNDUP(((B10*1000000/B6)*1000)/B11,0)*B11,(B8+8)*B11,B12,B11*(IF(B13="off",0,1))*ROUNDUP(1000000000/(B11*B14),0))</f>
        <v>16339200</v>
      </c>
    </row>
    <row r="16" spans="1:2">
      <c r="A16" s="155" t="s">
        <v>180</v>
      </c>
      <c r="B16" s="156"/>
    </row>
    <row r="17" spans="1:2" ht="22.5">
      <c r="A17" s="11" t="s">
        <v>181</v>
      </c>
      <c r="B17" s="12">
        <f>1000000000/B15</f>
        <v>61.20250685468077</v>
      </c>
    </row>
    <row r="30" spans="1:2" hidden="1">
      <c r="A30" s="129" t="s">
        <v>216</v>
      </c>
      <c r="B30" s="130">
        <f>ROUNDUP(((B10*1000000/B6)*1000),0)</f>
        <v>7776420</v>
      </c>
    </row>
    <row r="31" spans="1:2" hidden="1">
      <c r="A31" s="129" t="s">
        <v>217</v>
      </c>
      <c r="B31" s="129">
        <f>ROUNDUP((1000000000/B14)*(IF(B13="off",0,1)),0)</f>
        <v>0</v>
      </c>
    </row>
    <row r="32" spans="1:2" hidden="1">
      <c r="A32" s="129" t="s">
        <v>218</v>
      </c>
      <c r="B32" s="129">
        <f>IF(ROUNDUP(((B4*1000-14260)*37500/1000000),0)&lt;552,552,ROUNDUP(((B4*1000-14260)*37500/1000000),0))</f>
        <v>374466</v>
      </c>
    </row>
    <row r="33" spans="1:2" hidden="1">
      <c r="A33" s="129" t="s">
        <v>219</v>
      </c>
      <c r="B33" s="129">
        <f>ROUNDUP(MAX(B30,B31)*37500/((B3+30)*1000000),0)</f>
        <v>263</v>
      </c>
    </row>
  </sheetData>
  <sheetProtection algorithmName="SHA-512" hashValue="59wwOtiWVTlf11y/Uy8Yt/1erBlpNPlzshLehXrXbH+Hh3rBYtHVrkPdW9BpkT15wBTUGLJxZjDQoHwqd1g8pg==" saltValue="xpBLYoBD6o+AXLJZdr3Bog==" spinCount="100000" sheet="1" objects="1" scenarios="1"/>
  <mergeCells count="2">
    <mergeCell ref="A1:B1"/>
    <mergeCell ref="A16:B16"/>
  </mergeCells>
  <phoneticPr fontId="21" type="noConversion"/>
  <dataValidations count="7"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0A00-000000000000}">
      <formula1>OR(AND(B5=8,B6&gt;=35000000,B6&lt;=200000000,MOD(B6,1000000)=0),AND(B5=10,B6&gt;=70000000,B6&lt;=200000000,MOD(B6,1000000)=0))</formula1>
    </dataValidation>
    <dataValidation type="custom" allowBlank="1" showInputMessage="1" showErrorMessage="1" errorTitle="Input parameter error" error="Input parameter error,Input range from 64 to 1440,and is an integer multiple of 4" sqref="B2" xr:uid="{00000000-0002-0000-0A00-000001000000}">
      <formula1>AND(MOD(B2,4)=0,B2&gt;=64,B2&lt;=1440)</formula1>
    </dataValidation>
    <dataValidation type="custom" allowBlank="1" showInputMessage="1" showErrorMessage="1" errorTitle="Input parameter error" error="Input parameter error,Input range from 4 to 1080,and is an integer multiple of 2" sqref="B3" xr:uid="{00000000-0002-0000-0A00-000002000000}">
      <formula1>AND(MOD(B3,2)=0,B3&gt;=4,B3&lt;=1080)</formula1>
    </dataValidation>
    <dataValidation type="list" allowBlank="1" showInputMessage="1" showErrorMessage="1" errorTitle="Input parameter error" error="Input 8 or 10" sqref="B5" xr:uid="{00000000-0002-0000-0A00-000003000000}">
      <formula1>"8,10"</formula1>
    </dataValidation>
    <dataValidation type="whole" allowBlank="1" showInputMessage="1" showErrorMessage="1" errorTitle="Input parameter error" error="Input range is 20-1000000" sqref="B4" xr:uid="{00000000-0002-0000-0A00-000004000000}">
      <formula1>20</formula1>
      <formula2>1000000</formula2>
    </dataValidation>
    <dataValidation type="list" allowBlank="1" showInputMessage="1" showErrorMessage="1" errorTitle="Input parameter error" error="Input on or off" sqref="B13" xr:uid="{00000000-0002-0000-0A00-000005000000}">
      <formula1>"on,off"</formula1>
    </dataValidation>
    <dataValidation type="custom" allowBlank="1" showInputMessage="1" showErrorMessage="1" errorTitle="Input parameter error" error="Input range from 0.1 to 10000,step 0.1" sqref="B14" xr:uid="{00000000-0002-0000-0A00-000006000000}">
      <formula1>AND(MOD(10*B14,1)=0,B14&gt;=0.1,B14&lt;=10000)</formula1>
    </dataValidation>
  </dataValidations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2"/>
  <sheetViews>
    <sheetView workbookViewId="0">
      <selection activeCell="B2" sqref="B2"/>
    </sheetView>
  </sheetViews>
  <sheetFormatPr defaultColWidth="8.85546875" defaultRowHeight="15"/>
  <cols>
    <col min="1" max="1" width="40.5703125" style="2" customWidth="1"/>
    <col min="2" max="2" width="15.42578125" style="2" customWidth="1"/>
    <col min="3" max="5" width="8.85546875" style="2"/>
    <col min="6" max="6" width="8.85546875" style="2" customWidth="1"/>
    <col min="7" max="7" width="21.42578125" style="2" hidden="1" customWidth="1"/>
    <col min="8" max="8" width="23.42578125" style="2" hidden="1" customWidth="1"/>
    <col min="9" max="9" width="8.85546875" style="2" hidden="1" customWidth="1"/>
    <col min="10" max="10" width="8.85546875" style="2" customWidth="1"/>
    <col min="11" max="16384" width="8.85546875" style="2"/>
  </cols>
  <sheetData>
    <row r="1" spans="1:9">
      <c r="A1" s="153" t="s">
        <v>165</v>
      </c>
      <c r="B1" s="154"/>
      <c r="G1" s="161" t="s">
        <v>263</v>
      </c>
      <c r="H1" s="162"/>
      <c r="I1" s="163"/>
    </row>
    <row r="2" spans="1:9">
      <c r="A2" s="96" t="s">
        <v>264</v>
      </c>
      <c r="B2" s="4"/>
      <c r="G2" s="97" t="s">
        <v>166</v>
      </c>
      <c r="H2" s="97">
        <v>1920</v>
      </c>
      <c r="I2" s="97"/>
    </row>
    <row r="3" spans="1:9">
      <c r="A3" s="96" t="s">
        <v>265</v>
      </c>
      <c r="B3" s="4">
        <v>1080</v>
      </c>
      <c r="G3" s="97" t="s">
        <v>167</v>
      </c>
      <c r="H3" s="97">
        <f>B3</f>
        <v>1080</v>
      </c>
      <c r="I3" s="97"/>
    </row>
    <row r="4" spans="1:9">
      <c r="A4" s="3" t="s">
        <v>168</v>
      </c>
      <c r="B4" s="7">
        <v>10000</v>
      </c>
      <c r="G4" s="161" t="s">
        <v>266</v>
      </c>
      <c r="H4" s="162"/>
      <c r="I4" s="163"/>
    </row>
    <row r="5" spans="1:9">
      <c r="A5" s="3" t="s">
        <v>169</v>
      </c>
      <c r="B5" s="7">
        <v>8</v>
      </c>
      <c r="G5" s="97" t="s">
        <v>166</v>
      </c>
      <c r="H5" s="97">
        <v>1920</v>
      </c>
      <c r="I5" s="97"/>
    </row>
    <row r="6" spans="1:9">
      <c r="A6" s="3" t="s">
        <v>170</v>
      </c>
      <c r="B6" s="7">
        <v>200000000</v>
      </c>
      <c r="G6" s="97" t="s">
        <v>167</v>
      </c>
      <c r="H6" s="97">
        <f>IF(H3&gt;=304,H3,304)</f>
        <v>1080</v>
      </c>
      <c r="I6" s="97"/>
    </row>
    <row r="7" spans="1:9" hidden="1">
      <c r="A7" s="3"/>
      <c r="B7" s="7"/>
      <c r="G7" s="161"/>
      <c r="H7" s="162"/>
      <c r="I7" s="163"/>
    </row>
    <row r="8" spans="1:9">
      <c r="A8" s="3" t="s">
        <v>267</v>
      </c>
      <c r="B8" s="7" t="s">
        <v>177</v>
      </c>
      <c r="G8" s="97" t="s">
        <v>268</v>
      </c>
      <c r="H8" s="97">
        <f>IF(B5=8,1,2)*ROUNDUP(446*(10^6/37500),0)</f>
        <v>11894</v>
      </c>
      <c r="I8" s="97" t="s">
        <v>269</v>
      </c>
    </row>
    <row r="9" spans="1:9">
      <c r="A9" s="3" t="s">
        <v>176</v>
      </c>
      <c r="B9" s="7" t="s">
        <v>177</v>
      </c>
      <c r="G9" s="97" t="s">
        <v>270</v>
      </c>
      <c r="H9" s="97">
        <v>0</v>
      </c>
      <c r="I9" s="97" t="s">
        <v>271</v>
      </c>
    </row>
    <row r="10" spans="1:9">
      <c r="A10" s="3" t="s">
        <v>178</v>
      </c>
      <c r="B10" s="7">
        <v>76.099999999999994</v>
      </c>
      <c r="G10" s="97" t="s">
        <v>272</v>
      </c>
      <c r="H10" s="97">
        <v>21</v>
      </c>
      <c r="I10" s="97" t="s">
        <v>268</v>
      </c>
    </row>
    <row r="11" spans="1:9" hidden="1">
      <c r="A11" s="6" t="s">
        <v>172</v>
      </c>
      <c r="B11" s="95" t="str">
        <f>IF((B5&lt;=8),"1","2")</f>
        <v>1</v>
      </c>
      <c r="G11" s="97" t="s">
        <v>273</v>
      </c>
      <c r="H11" s="97">
        <v>7</v>
      </c>
      <c r="I11" s="97" t="s">
        <v>268</v>
      </c>
    </row>
    <row r="12" spans="1:9" hidden="1">
      <c r="A12" s="6" t="s">
        <v>173</v>
      </c>
      <c r="B12" s="95">
        <f>H15</f>
        <v>84</v>
      </c>
      <c r="G12" s="97" t="s">
        <v>274</v>
      </c>
      <c r="H12" s="97">
        <v>16</v>
      </c>
      <c r="I12" s="97" t="s">
        <v>268</v>
      </c>
    </row>
    <row r="13" spans="1:9" hidden="1">
      <c r="A13" s="6" t="s">
        <v>174</v>
      </c>
      <c r="B13" s="95">
        <f>H8</f>
        <v>11894</v>
      </c>
      <c r="G13" s="97" t="s">
        <v>275</v>
      </c>
      <c r="H13" s="97">
        <v>25</v>
      </c>
      <c r="I13" s="97" t="s">
        <v>268</v>
      </c>
    </row>
    <row r="14" spans="1:9" hidden="1">
      <c r="A14" s="6" t="s">
        <v>175</v>
      </c>
      <c r="B14" s="95">
        <f>B15</f>
        <v>13142870</v>
      </c>
      <c r="G14" s="97" t="s">
        <v>276</v>
      </c>
      <c r="H14" s="97">
        <v>5</v>
      </c>
      <c r="I14" s="97" t="s">
        <v>268</v>
      </c>
    </row>
    <row r="15" spans="1:9" hidden="1">
      <c r="A15" s="6" t="s">
        <v>179</v>
      </c>
      <c r="B15" s="95">
        <f>H22</f>
        <v>13142870</v>
      </c>
      <c r="G15" s="97" t="s">
        <v>277</v>
      </c>
      <c r="H15" s="97">
        <f>IF(B5=8,1,2)*B2*B3+84</f>
        <v>84</v>
      </c>
      <c r="I15" s="97" t="s">
        <v>278</v>
      </c>
    </row>
    <row r="16" spans="1:9">
      <c r="A16" s="155" t="s">
        <v>180</v>
      </c>
      <c r="B16" s="156"/>
      <c r="G16" s="161"/>
      <c r="H16" s="162"/>
      <c r="I16" s="163"/>
    </row>
    <row r="17" spans="1:9" ht="22.5">
      <c r="A17" s="11" t="s">
        <v>181</v>
      </c>
      <c r="B17" s="12">
        <f>1000000000/B15</f>
        <v>76.086882088919694</v>
      </c>
      <c r="G17" s="97" t="s">
        <v>279</v>
      </c>
      <c r="H17" s="97">
        <f>H10+MAX(H6+H13-H10,2+H11+ROUNDUP(1000*H9/H8,0))</f>
        <v>1105</v>
      </c>
      <c r="I17" s="97" t="s">
        <v>268</v>
      </c>
    </row>
    <row r="18" spans="1:9">
      <c r="G18" s="97" t="s">
        <v>280</v>
      </c>
      <c r="H18" s="97">
        <f>ROUNDUP(1000*B4/H8,0)+H14</f>
        <v>846</v>
      </c>
      <c r="I18" s="97" t="s">
        <v>268</v>
      </c>
    </row>
    <row r="19" spans="1:9">
      <c r="G19" s="97" t="s">
        <v>281</v>
      </c>
      <c r="H19" s="97">
        <f>IF(B9="on",ROUNDUP((10^9)/(B10*H8),0),0)</f>
        <v>0</v>
      </c>
      <c r="I19" s="97" t="s">
        <v>268</v>
      </c>
    </row>
    <row r="20" spans="1:9">
      <c r="G20" s="97" t="s">
        <v>282</v>
      </c>
      <c r="H20" s="97">
        <f>ROUNDUP((H15/MIN(200000000,B6))*10^9/H8,0)</f>
        <v>1</v>
      </c>
      <c r="I20" s="97" t="s">
        <v>268</v>
      </c>
    </row>
    <row r="21" spans="1:9">
      <c r="G21" s="97" t="s">
        <v>283</v>
      </c>
      <c r="H21" s="97">
        <f>ROUNDUP((H17+H18+2*H12),0)</f>
        <v>1983</v>
      </c>
      <c r="I21" s="97" t="s">
        <v>268</v>
      </c>
    </row>
    <row r="22" spans="1:9">
      <c r="G22" s="97" t="s">
        <v>284</v>
      </c>
      <c r="H22" s="97">
        <f>IF(B8="off",(ROUNDUP(MAX(H17,H18,H19,H20)*H8,0)),(ROUNDUP(MAX(H21,H18,H19,H20)*H8,0)))</f>
        <v>13142870</v>
      </c>
      <c r="I22" s="97" t="s">
        <v>269</v>
      </c>
    </row>
  </sheetData>
  <sheetProtection algorithmName="SHA-512" hashValue="726kmMudseQqYllIFNii32hSIuPtTrXYvfHH6/wkfgzIoG/15W3aYLuBU82HJbnfuD1lYnwoATVETntHVXaknw==" saltValue="UDVEzKF8qQXH4xbCdPxYPQ==" spinCount="100000" sheet="1" objects="1" scenarios="1" selectLockedCells="1"/>
  <mergeCells count="6">
    <mergeCell ref="A1:B1"/>
    <mergeCell ref="G1:I1"/>
    <mergeCell ref="G4:I4"/>
    <mergeCell ref="G7:I7"/>
    <mergeCell ref="A16:B16"/>
    <mergeCell ref="G16:I16"/>
  </mergeCells>
  <phoneticPr fontId="21" type="noConversion"/>
  <dataValidations count="8">
    <dataValidation type="custom" allowBlank="1" showInputMessage="1" showErrorMessage="1" errorTitle="参数输入错误" error="输入范围64到1920，并且为4的整数倍_x000a_" sqref="B2" xr:uid="{00000000-0002-0000-0B00-000000000000}">
      <formula1>AND(MOD(B2,4)=0,B2&gt;=64,B2&lt;=1920)</formula1>
    </dataValidation>
    <dataValidation type="custom" allowBlank="1" showInputMessage="1" showErrorMessage="1" errorTitle="参数输入错误" error="输入范围为0.1-10000，步进值为0.1" sqref="B10" xr:uid="{00000000-0002-0000-0B00-000001000000}">
      <formula1>AND(MOD(10*B10,1)=0,B10&gt;=0.1,B10&lt;=10000)</formula1>
    </dataValidation>
    <dataValidation type="custom" allowBlank="1" showInputMessage="1" showErrorMessage="1" errorTitle="参数输入错误" error="输入范围64到1080，并且为4的整数倍" sqref="B3" xr:uid="{00000000-0002-0000-0B00-000002000000}">
      <formula1>AND(MOD(B3,4)=0,B3&gt;=64,B3&lt;=1080)</formula1>
    </dataValidation>
    <dataValidation type="list" allowBlank="1" showInputMessage="1" showErrorMessage="1" errorTitle="参数输入错误" error="请输入8或者10" sqref="B5" xr:uid="{00000000-0002-0000-0B00-000003000000}">
      <formula1>"8,10"</formula1>
    </dataValidation>
    <dataValidation type="whole" allowBlank="1" showInputMessage="1" showErrorMessage="1" errorTitle="参数输入错误" error="输入范围20-1000000" sqref="B4" xr:uid="{00000000-0002-0000-0B00-000004000000}">
      <formula1>20</formula1>
      <formula2>1000000</formula2>
    </dataValidation>
    <dataValidation type="custom" allowBlank="1" showInputMessage="1" showErrorMessage="1" errorTitle="参数输入错误" error="8bit模式下范围35000000-200000000，步长1000000;_x000a_10bit模式下范围70000000-200000000，步长1000000" sqref="B6" xr:uid="{00000000-0002-0000-0B00-000005000000}">
      <formula1>OR(AND(B5=8,B6&gt;=35000000,B6&lt;=200000000,MOD(B6,1000000)=0),AND(B5=10,B6&gt;=70000000,B6&lt;=200000000,MOD(B6,1000000)=0))</formula1>
    </dataValidation>
    <dataValidation type="list" allowBlank="1" showInputMessage="1" showErrorMessage="1" sqref="B8" xr:uid="{00000000-0002-0000-0B00-000006000000}">
      <formula1>"on,off"</formula1>
    </dataValidation>
    <dataValidation type="list" allowBlank="1" showInputMessage="1" showErrorMessage="1" errorTitle="参数输入错误" error="请输入on或者off" sqref="B9" xr:uid="{00000000-0002-0000-0B00-000007000000}">
      <formula1>"on,off"</formula1>
    </dataValidation>
  </dataValidations>
  <pageMargins left="0.7" right="0.7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2"/>
  <sheetViews>
    <sheetView workbookViewId="0">
      <selection activeCell="B2" sqref="B2"/>
    </sheetView>
  </sheetViews>
  <sheetFormatPr defaultColWidth="8.85546875" defaultRowHeight="15"/>
  <cols>
    <col min="1" max="1" width="40.5703125" style="2" customWidth="1"/>
    <col min="2" max="2" width="15.42578125" style="2" customWidth="1"/>
    <col min="3" max="5" width="8.85546875" style="2"/>
    <col min="6" max="6" width="8.85546875" style="2" customWidth="1"/>
    <col min="7" max="7" width="21.42578125" style="2" hidden="1" customWidth="1"/>
    <col min="8" max="8" width="23.42578125" style="2" hidden="1" customWidth="1"/>
    <col min="9" max="9" width="8.85546875" style="2" hidden="1" customWidth="1"/>
    <col min="10" max="10" width="8.85546875" style="2" customWidth="1"/>
    <col min="11" max="16384" width="8.85546875" style="2"/>
  </cols>
  <sheetData>
    <row r="1" spans="1:9">
      <c r="A1" s="153" t="s">
        <v>165</v>
      </c>
      <c r="B1" s="154"/>
      <c r="G1" s="161" t="s">
        <v>263</v>
      </c>
      <c r="H1" s="162"/>
      <c r="I1" s="163"/>
    </row>
    <row r="2" spans="1:9">
      <c r="A2" s="96" t="s">
        <v>264</v>
      </c>
      <c r="B2" s="4">
        <v>1920</v>
      </c>
      <c r="G2" s="97" t="s">
        <v>166</v>
      </c>
      <c r="H2" s="97">
        <v>1920</v>
      </c>
      <c r="I2" s="97"/>
    </row>
    <row r="3" spans="1:9">
      <c r="A3" s="96" t="s">
        <v>265</v>
      </c>
      <c r="B3" s="4">
        <v>1080</v>
      </c>
      <c r="G3" s="97" t="s">
        <v>167</v>
      </c>
      <c r="H3" s="97">
        <f>B3</f>
        <v>1080</v>
      </c>
      <c r="I3" s="97"/>
    </row>
    <row r="4" spans="1:9">
      <c r="A4" s="3" t="s">
        <v>168</v>
      </c>
      <c r="B4" s="7">
        <v>10000</v>
      </c>
      <c r="G4" s="161" t="s">
        <v>266</v>
      </c>
      <c r="H4" s="162"/>
      <c r="I4" s="163"/>
    </row>
    <row r="5" spans="1:9">
      <c r="A5" s="3" t="s">
        <v>169</v>
      </c>
      <c r="B5" s="7">
        <v>8</v>
      </c>
      <c r="G5" s="97" t="s">
        <v>166</v>
      </c>
      <c r="H5" s="97">
        <v>1920</v>
      </c>
      <c r="I5" s="97"/>
    </row>
    <row r="6" spans="1:9">
      <c r="A6" s="3" t="s">
        <v>170</v>
      </c>
      <c r="B6" s="7">
        <v>200000000</v>
      </c>
      <c r="G6" s="97" t="s">
        <v>167</v>
      </c>
      <c r="H6" s="97">
        <f>IF(H3&gt;=304,H3,304)</f>
        <v>1080</v>
      </c>
      <c r="I6" s="97"/>
    </row>
    <row r="7" spans="1:9" hidden="1">
      <c r="A7" s="3"/>
      <c r="B7" s="7"/>
      <c r="G7" s="161"/>
      <c r="H7" s="162"/>
      <c r="I7" s="163"/>
    </row>
    <row r="8" spans="1:9">
      <c r="A8" s="3" t="s">
        <v>267</v>
      </c>
      <c r="B8" s="7" t="s">
        <v>177</v>
      </c>
      <c r="G8" s="97" t="s">
        <v>268</v>
      </c>
      <c r="H8" s="97">
        <f>IF(B5=8,1,2)*ROUNDUP(446*(10^6/37500),0)</f>
        <v>11894</v>
      </c>
      <c r="I8" s="97" t="s">
        <v>269</v>
      </c>
    </row>
    <row r="9" spans="1:9">
      <c r="A9" s="3" t="s">
        <v>176</v>
      </c>
      <c r="B9" s="7" t="s">
        <v>177</v>
      </c>
      <c r="G9" s="97" t="s">
        <v>270</v>
      </c>
      <c r="H9" s="97">
        <v>0</v>
      </c>
      <c r="I9" s="97" t="s">
        <v>271</v>
      </c>
    </row>
    <row r="10" spans="1:9">
      <c r="A10" s="3" t="s">
        <v>178</v>
      </c>
      <c r="B10" s="7">
        <v>76.099999999999994</v>
      </c>
      <c r="G10" s="97" t="s">
        <v>272</v>
      </c>
      <c r="H10" s="97">
        <v>21</v>
      </c>
      <c r="I10" s="97" t="s">
        <v>268</v>
      </c>
    </row>
    <row r="11" spans="1:9" hidden="1">
      <c r="A11" s="6" t="s">
        <v>172</v>
      </c>
      <c r="B11" s="95" t="str">
        <f>IF((B5&lt;=8),"1","2")</f>
        <v>1</v>
      </c>
      <c r="G11" s="97" t="s">
        <v>273</v>
      </c>
      <c r="H11" s="97">
        <v>7</v>
      </c>
      <c r="I11" s="97" t="s">
        <v>268</v>
      </c>
    </row>
    <row r="12" spans="1:9" hidden="1">
      <c r="A12" s="6" t="s">
        <v>173</v>
      </c>
      <c r="B12" s="95">
        <f>H15</f>
        <v>2073684</v>
      </c>
      <c r="G12" s="97" t="s">
        <v>274</v>
      </c>
      <c r="H12" s="97">
        <v>16</v>
      </c>
      <c r="I12" s="97" t="s">
        <v>268</v>
      </c>
    </row>
    <row r="13" spans="1:9" hidden="1">
      <c r="A13" s="6" t="s">
        <v>174</v>
      </c>
      <c r="B13" s="95">
        <f>H8</f>
        <v>11894</v>
      </c>
      <c r="G13" s="97" t="s">
        <v>275</v>
      </c>
      <c r="H13" s="97">
        <v>25</v>
      </c>
      <c r="I13" s="97" t="s">
        <v>268</v>
      </c>
    </row>
    <row r="14" spans="1:9" hidden="1">
      <c r="A14" s="6" t="s">
        <v>175</v>
      </c>
      <c r="B14" s="95">
        <f>B15</f>
        <v>13142870</v>
      </c>
      <c r="G14" s="97" t="s">
        <v>276</v>
      </c>
      <c r="H14" s="97">
        <v>5</v>
      </c>
      <c r="I14" s="97" t="s">
        <v>268</v>
      </c>
    </row>
    <row r="15" spans="1:9" hidden="1">
      <c r="A15" s="6" t="s">
        <v>179</v>
      </c>
      <c r="B15" s="95">
        <f>H22</f>
        <v>13142870</v>
      </c>
      <c r="G15" s="97" t="s">
        <v>277</v>
      </c>
      <c r="H15" s="97">
        <f>IF(B5=8,1,2)*B2*B3+84</f>
        <v>2073684</v>
      </c>
      <c r="I15" s="97" t="s">
        <v>278</v>
      </c>
    </row>
    <row r="16" spans="1:9">
      <c r="A16" s="155" t="s">
        <v>180</v>
      </c>
      <c r="B16" s="156"/>
      <c r="G16" s="161"/>
      <c r="H16" s="162"/>
      <c r="I16" s="163"/>
    </row>
    <row r="17" spans="1:9" ht="22.5">
      <c r="A17" s="11" t="s">
        <v>181</v>
      </c>
      <c r="B17" s="12">
        <f>1000000000/B15</f>
        <v>76.086882088919694</v>
      </c>
      <c r="G17" s="97" t="s">
        <v>279</v>
      </c>
      <c r="H17" s="97">
        <f>H10+MAX(H6+H13-H10,2+H11+ROUNDUP(1000*H9/H8,0))</f>
        <v>1105</v>
      </c>
      <c r="I17" s="97" t="s">
        <v>268</v>
      </c>
    </row>
    <row r="18" spans="1:9">
      <c r="G18" s="97" t="s">
        <v>280</v>
      </c>
      <c r="H18" s="97">
        <f>ROUNDUP(1000*B4/H8,0)+H14</f>
        <v>846</v>
      </c>
      <c r="I18" s="97" t="s">
        <v>268</v>
      </c>
    </row>
    <row r="19" spans="1:9">
      <c r="G19" s="97" t="s">
        <v>281</v>
      </c>
      <c r="H19" s="97">
        <f>IF(B9="on",ROUNDUP((10^9)/(B10*H8),0),0)</f>
        <v>0</v>
      </c>
      <c r="I19" s="97" t="s">
        <v>268</v>
      </c>
    </row>
    <row r="20" spans="1:9">
      <c r="G20" s="97" t="s">
        <v>282</v>
      </c>
      <c r="H20" s="97">
        <f>ROUNDUP((H15/MIN(200000000,B6))*10^9/H8,0)</f>
        <v>872</v>
      </c>
      <c r="I20" s="97" t="s">
        <v>268</v>
      </c>
    </row>
    <row r="21" spans="1:9">
      <c r="G21" s="97" t="s">
        <v>283</v>
      </c>
      <c r="H21" s="97">
        <f>ROUNDUP((H17+H18+2*H12),0)</f>
        <v>1983</v>
      </c>
      <c r="I21" s="97" t="s">
        <v>268</v>
      </c>
    </row>
    <row r="22" spans="1:9">
      <c r="G22" s="97" t="s">
        <v>284</v>
      </c>
      <c r="H22" s="97">
        <f>IF(B8="off",(ROUNDUP(MAX(H17,H18,H19,H20)*H8,0)),(ROUNDUP(MAX(H21,H18,H19,H20)*H8,0)))</f>
        <v>13142870</v>
      </c>
      <c r="I22" s="97" t="s">
        <v>269</v>
      </c>
    </row>
  </sheetData>
  <sheetProtection algorithmName="SHA-512" hashValue="uery1ZVmfdgDsLhtjCVxETrFH7f5ahctRSG0GwS5U7oL0yccrWkwFY2ul8nscwdf/foHXB/02AOcpDPuEMByOg==" saltValue="xO9HLBchGNzPLBA2ttw/4Q==" spinCount="100000" sheet="1" objects="1" scenarios="1" selectLockedCells="1"/>
  <mergeCells count="6">
    <mergeCell ref="A1:B1"/>
    <mergeCell ref="G1:I1"/>
    <mergeCell ref="G4:I4"/>
    <mergeCell ref="G7:I7"/>
    <mergeCell ref="A16:B16"/>
    <mergeCell ref="G16:I16"/>
  </mergeCells>
  <phoneticPr fontId="21" type="noConversion"/>
  <dataValidations count="8">
    <dataValidation type="custom" allowBlank="1" showInputMessage="1" showErrorMessage="1" errorTitle="参数输入错误" error="输入范围64到1920，并且为4的整数倍_x000a_" sqref="B2" xr:uid="{00000000-0002-0000-0C00-000000000000}">
      <formula1>AND(MOD(B2,4)=0,B2&gt;=64,B2&lt;=1920)</formula1>
    </dataValidation>
    <dataValidation type="custom" allowBlank="1" showInputMessage="1" showErrorMessage="1" errorTitle="参数输入错误" error="输入范围为0.1-10000，步进值为0.1" sqref="B10" xr:uid="{00000000-0002-0000-0C00-000001000000}">
      <formula1>AND(MOD(10*B10,1)=0,B10&gt;=0.1,B10&lt;=10000)</formula1>
    </dataValidation>
    <dataValidation type="custom" allowBlank="1" showInputMessage="1" showErrorMessage="1" errorTitle="参数输入错误" error="输入范围64到1080，并且为4的整数倍" sqref="B3" xr:uid="{00000000-0002-0000-0C00-000002000000}">
      <formula1>AND(MOD(B3,4)=0,B3&gt;=64,B3&lt;=1080)</formula1>
    </dataValidation>
    <dataValidation type="list" allowBlank="1" showInputMessage="1" showErrorMessage="1" errorTitle="参数输入错误" error="请输入8或者10" sqref="B5" xr:uid="{00000000-0002-0000-0C00-000003000000}">
      <formula1>"8,10"</formula1>
    </dataValidation>
    <dataValidation type="whole" allowBlank="1" showInputMessage="1" showErrorMessage="1" errorTitle="参数输入错误" error="输入范围20-1000000" sqref="B4" xr:uid="{00000000-0002-0000-0C00-000004000000}">
      <formula1>20</formula1>
      <formula2>1000000</formula2>
    </dataValidation>
    <dataValidation type="custom" allowBlank="1" showInputMessage="1" showErrorMessage="1" errorTitle="参数输入错误" error="8bit模式下范围35000000-200000000，步长1000000;_x000a_10bit模式下范围70000000-200000000，步长1000000" sqref="B6" xr:uid="{00000000-0002-0000-0C00-000005000000}">
      <formula1>OR(AND(B5=8,B6&gt;=35000000,B6&lt;=200000000,MOD(B6,1000000)=0),AND(B5=10,B6&gt;=70000000,B6&lt;=200000000,MOD(B6,1000000)=0))</formula1>
    </dataValidation>
    <dataValidation type="list" allowBlank="1" showInputMessage="1" showErrorMessage="1" sqref="B8" xr:uid="{00000000-0002-0000-0C00-000006000000}">
      <formula1>"on,off"</formula1>
    </dataValidation>
    <dataValidation type="list" allowBlank="1" showInputMessage="1" showErrorMessage="1" errorTitle="参数输入错误" error="请输入on或者off" sqref="B9" xr:uid="{00000000-0002-0000-0C00-000007000000}">
      <formula1>"on,off"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2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5" width="6.42578125" customWidth="1"/>
    <col min="6" max="7" width="9" hidden="1" customWidth="1"/>
    <col min="8" max="8" width="12.28515625" hidden="1" customWidth="1"/>
    <col min="9" max="9" width="26.42578125" hidden="1" customWidth="1"/>
    <col min="10" max="10" width="3.42578125" hidden="1" customWidth="1"/>
    <col min="11" max="11" width="9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1920</v>
      </c>
      <c r="C2" s="5" t="str">
        <f>IF(OR(B2&gt;1920/B4,B2&lt;16),LOOKUP(B4,F3:F5,I3:I5),IF(OR(B2&gt;1920/B6,B2&lt;16),LOOKUP(B6,F10:F12,I10:I12),""))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1200</v>
      </c>
      <c r="C3" s="5" t="str">
        <f>IF(OR(B3&gt;1200/B5,B3&lt;2),LOOKUP(B5,F3:F5,J3:J5),IF(OR(B3&gt;1200/B7,B3&lt;2),LOOKUP(B7,F10:F12,J10:J12),""))</f>
        <v/>
      </c>
      <c r="D3" s="2"/>
      <c r="E3" s="2"/>
      <c r="F3" s="2">
        <v>1</v>
      </c>
      <c r="G3" s="2">
        <f>8*INT(G7/(8*F3))</f>
        <v>1920</v>
      </c>
      <c r="H3" s="2">
        <f>2*INT(H7/(2*F3))</f>
        <v>1200</v>
      </c>
      <c r="I3" s="2" t="str">
        <f>"Input range from 16 to "&amp;G3&amp;",and is an integer multiple of 8"</f>
        <v>Input range from 16 to 1920,and is an integer multiple of 8</v>
      </c>
      <c r="J3" s="2" t="str">
        <f>"Input range from 2 to "&amp;H3&amp;",and is an integer multiple of 2"</f>
        <v>Input range from 2 to 1200,and is an integer multiple of 2</v>
      </c>
    </row>
    <row r="4" spans="1:10">
      <c r="A4" s="6" t="s">
        <v>187</v>
      </c>
      <c r="B4" s="7">
        <v>1</v>
      </c>
      <c r="C4" s="5" t="str">
        <f>IF(AND(B4&gt;1,B6&gt;1),"The binning and skipping levels are not set to be greater than 2 at the same time","")</f>
        <v/>
      </c>
      <c r="D4" s="2"/>
      <c r="E4" s="2"/>
      <c r="F4" s="2">
        <v>2</v>
      </c>
      <c r="G4" s="2">
        <f>8*INT(G7/(8*F4))</f>
        <v>960</v>
      </c>
      <c r="H4" s="2">
        <f>2*INT(H7/(2*F4))</f>
        <v>600</v>
      </c>
      <c r="I4" s="2" t="str">
        <f t="shared" ref="I4:I5" si="0">"Input range from 16 to "&amp;G4&amp;",and is an integer multiple of 8"</f>
        <v>Input range from 16 to 960,and is an integer multiple of 8</v>
      </c>
      <c r="J4" s="2" t="str">
        <f t="shared" ref="J4:J5" si="1">"Input range from 2 to "&amp;H4&amp;",and is an integer multiple of 2"</f>
        <v>Input range from 2 to 600,and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2 at the same time","")</f>
        <v/>
      </c>
      <c r="D5" s="2"/>
      <c r="E5" s="2"/>
      <c r="F5" s="2">
        <v>4</v>
      </c>
      <c r="G5" s="2">
        <f>8*INT(G7/(8*F5))</f>
        <v>480</v>
      </c>
      <c r="H5" s="2">
        <f>2*INT(H7/(2*F5))</f>
        <v>300</v>
      </c>
      <c r="I5" s="2" t="str">
        <f t="shared" si="0"/>
        <v>Input range from 16 to 480,and is an integer multiple of 8</v>
      </c>
      <c r="J5" s="2" t="str">
        <f t="shared" si="1"/>
        <v>Input range from 2 to 300,and is an integer multiple of 2</v>
      </c>
    </row>
    <row r="6" spans="1:10">
      <c r="A6" s="6" t="s">
        <v>193</v>
      </c>
      <c r="B6" s="7">
        <v>1</v>
      </c>
      <c r="C6" s="2"/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2"/>
      <c r="D7" s="2"/>
      <c r="E7" s="2"/>
      <c r="F7" s="2"/>
      <c r="G7" s="2">
        <v>1920</v>
      </c>
      <c r="H7" s="2">
        <v>1200</v>
      </c>
      <c r="I7" s="2"/>
      <c r="J7" s="2"/>
    </row>
    <row r="8" spans="1:10">
      <c r="A8" s="3" t="s">
        <v>168</v>
      </c>
      <c r="B8" s="7">
        <v>10000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169</v>
      </c>
      <c r="B10" s="7">
        <v>8</v>
      </c>
      <c r="C10" s="2"/>
      <c r="D10" s="2"/>
      <c r="E10" s="2"/>
      <c r="F10" s="2">
        <v>1</v>
      </c>
      <c r="G10" s="2">
        <f>8*INT(G14/(8*F10))</f>
        <v>1920</v>
      </c>
      <c r="H10" s="2">
        <f>2*INT(H14/(2*F10))</f>
        <v>1200</v>
      </c>
      <c r="I10" s="2" t="str">
        <f t="shared" ref="I10:I12" si="2">"Input range from 16 to "&amp;G10&amp;",and is an integer multiple of 8"</f>
        <v>Input range from 16 to 1920,and is an integer multiple of 8</v>
      </c>
      <c r="J10" s="2" t="str">
        <f t="shared" ref="J10:J12" si="3">"Input range from 2 to "&amp;H10&amp;",and is an integer multiple of 2"</f>
        <v>Input range from 2 to 1200,and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2</v>
      </c>
      <c r="G11" s="2">
        <f>8*INT(G14/(8*F11))</f>
        <v>960</v>
      </c>
      <c r="H11" s="2">
        <f>2*INT(H14/(2*F11))</f>
        <v>600</v>
      </c>
      <c r="I11" s="2" t="str">
        <f t="shared" si="2"/>
        <v>Input range from 16 to 960,and is an integer multiple of 8</v>
      </c>
      <c r="J11" s="2" t="str">
        <f t="shared" si="3"/>
        <v>Input range from 2 to 600,and is an integer multiple of 2</v>
      </c>
    </row>
    <row r="12" spans="1:10" hidden="1">
      <c r="A12" s="3"/>
      <c r="B12" s="7"/>
      <c r="C12" s="2"/>
      <c r="D12" s="2"/>
      <c r="E12" s="2"/>
      <c r="F12" s="2">
        <v>4</v>
      </c>
      <c r="G12" s="2">
        <f>8*INT(G14/(8*F12))</f>
        <v>480</v>
      </c>
      <c r="H12" s="2">
        <f>2*INT(H14/(2*F12))</f>
        <v>300</v>
      </c>
      <c r="I12" s="2" t="str">
        <f t="shared" si="2"/>
        <v>Input range from 16 to 480,and is an integer multiple of 8</v>
      </c>
      <c r="J12" s="2" t="str">
        <f t="shared" si="3"/>
        <v>Input range from 2 to 300,and is an integer multiple of 2</v>
      </c>
    </row>
    <row r="13" spans="1:10" hidden="1">
      <c r="A13" s="3" t="s">
        <v>171</v>
      </c>
      <c r="B13" s="7">
        <f>MAX(ROUNDUP((B8-13.73)/B16,0),1)</f>
        <v>2081</v>
      </c>
      <c r="C13" s="2"/>
      <c r="D13" s="2"/>
      <c r="E13" s="2"/>
      <c r="F13" s="2"/>
      <c r="G13" s="2"/>
      <c r="H13" s="2"/>
      <c r="I13" s="2" t="s">
        <v>194</v>
      </c>
      <c r="J13" s="2"/>
    </row>
    <row r="14" spans="1:10" hidden="1">
      <c r="A14" s="3" t="s">
        <v>172</v>
      </c>
      <c r="B14" s="7" t="str">
        <f>IF((B10&lt;=8),"1","2")</f>
        <v>1</v>
      </c>
      <c r="C14" s="2"/>
      <c r="D14" s="2"/>
      <c r="E14" s="2"/>
      <c r="F14" s="2"/>
      <c r="G14" s="2">
        <v>1920</v>
      </c>
      <c r="H14" s="2">
        <v>1200</v>
      </c>
      <c r="I14" s="2"/>
      <c r="J14" s="2"/>
    </row>
    <row r="15" spans="1:10" hidden="1">
      <c r="A15" s="3" t="s">
        <v>173</v>
      </c>
      <c r="B15" s="7">
        <f>B2*B3*B14+84</f>
        <v>2304084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174</v>
      </c>
      <c r="B16" s="7">
        <f>ROUNDUP(IF(B10=8,I17/37.5,2*I17/37.5)*1000,10)/1000</f>
        <v>4.8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175</v>
      </c>
      <c r="B17" s="7">
        <f>(B3*B5*B7+38)*B16</f>
        <v>5942.4</v>
      </c>
      <c r="C17" s="5"/>
      <c r="D17" s="2"/>
      <c r="E17" s="2"/>
      <c r="F17" s="2"/>
      <c r="G17" s="2"/>
      <c r="H17" s="2" t="s">
        <v>210</v>
      </c>
      <c r="I17" s="2">
        <f>180</f>
        <v>180</v>
      </c>
      <c r="J17" s="2"/>
    </row>
    <row r="18" spans="1:10">
      <c r="A18" s="3" t="s">
        <v>176</v>
      </c>
      <c r="B18" s="7" t="s">
        <v>177</v>
      </c>
      <c r="D18" s="2"/>
      <c r="E18" s="2"/>
      <c r="F18" s="2"/>
      <c r="G18" s="2"/>
      <c r="H18" s="2"/>
      <c r="I18" s="2"/>
      <c r="J18" s="2"/>
    </row>
    <row r="19" spans="1:10">
      <c r="A19" s="3" t="s">
        <v>178</v>
      </c>
      <c r="B19" s="7">
        <v>168</v>
      </c>
      <c r="D19" s="2"/>
      <c r="E19" s="2"/>
      <c r="F19" s="2"/>
      <c r="G19" s="2"/>
      <c r="H19" s="2" t="s">
        <v>211</v>
      </c>
      <c r="I19" s="2">
        <f>ROUNDUP((B13+14)*B16,0)</f>
        <v>10056</v>
      </c>
      <c r="J19" s="2"/>
    </row>
    <row r="20" spans="1:10" hidden="1">
      <c r="A20" s="6" t="s">
        <v>179</v>
      </c>
      <c r="B20" s="95">
        <f>MAX(I19,I20,I21,I22)</f>
        <v>10056</v>
      </c>
      <c r="H20" t="s">
        <v>212</v>
      </c>
      <c r="I20" s="2">
        <f>ROUNDUP((B3*B5*B7+38)*B16,0)</f>
        <v>5943</v>
      </c>
    </row>
    <row r="21" spans="1:10">
      <c r="A21" s="155" t="s">
        <v>180</v>
      </c>
      <c r="B21" s="156"/>
      <c r="H21" s="2" t="s">
        <v>213</v>
      </c>
      <c r="I21">
        <f>ROUNDUP(ROUNDUP(B15*1000000/B11/B16,0)*B16,0)</f>
        <v>7685</v>
      </c>
    </row>
    <row r="22" spans="1:10" ht="22.5">
      <c r="A22" s="11" t="s">
        <v>181</v>
      </c>
      <c r="B22" s="12">
        <f>1000000/B20</f>
        <v>99.443118536197289</v>
      </c>
      <c r="C22" s="19" t="str">
        <f>IF(OR(B3&gt;1200/B5,B3&gt;1200/B7,B3&lt;2,B2&gt;1920/B4,B2&gt;1920/B6,B2&lt;16),I6,"")</f>
        <v/>
      </c>
      <c r="H22" s="2" t="s">
        <v>214</v>
      </c>
      <c r="I22">
        <f>B16*(IF(B18="off",0,1))*ROUNDUP(1000*1000/(B16*B19),0)</f>
        <v>0</v>
      </c>
    </row>
  </sheetData>
  <sheetProtection sheet="1" objects="1" scenarios="1" selectLockedCells="1"/>
  <mergeCells count="2">
    <mergeCell ref="A1:B1"/>
    <mergeCell ref="A21:B21"/>
  </mergeCells>
  <phoneticPr fontId="21" type="noConversion"/>
  <conditionalFormatting sqref="B2">
    <cfRule type="cellIs" dxfId="206" priority="6" operator="notBetween">
      <formula>16</formula>
      <formula>$G$14</formula>
    </cfRule>
    <cfRule type="cellIs" dxfId="205" priority="8" operator="notBetween">
      <formula>16</formula>
      <formula>$G$7</formula>
    </cfRule>
  </conditionalFormatting>
  <conditionalFormatting sqref="B3">
    <cfRule type="cellIs" dxfId="204" priority="5" operator="notBetween">
      <formula>2</formula>
      <formula>$H$7</formula>
    </cfRule>
    <cfRule type="cellIs" dxfId="203" priority="7" operator="notBetween">
      <formula>2</formula>
      <formula>$H$14</formula>
    </cfRule>
  </conditionalFormatting>
  <conditionalFormatting sqref="B4">
    <cfRule type="expression" dxfId="202" priority="4">
      <formula>AND(B6&gt;1,B4&gt;1)</formula>
    </cfRule>
  </conditionalFormatting>
  <conditionalFormatting sqref="B5">
    <cfRule type="expression" dxfId="201" priority="2">
      <formula>AND(B5&gt;1,B7&gt;1)</formula>
    </cfRule>
  </conditionalFormatting>
  <conditionalFormatting sqref="B6">
    <cfRule type="expression" dxfId="200" priority="3">
      <formula>AND(B6&gt;1,B4&gt;1)</formula>
    </cfRule>
  </conditionalFormatting>
  <conditionalFormatting sqref="B7">
    <cfRule type="expression" dxfId="199" priority="1">
      <formula>AND(B5&gt;1,B7&gt;1)</formula>
    </cfRule>
  </conditionalFormatting>
  <dataValidations count="9">
    <dataValidation type="list" allowBlank="1" showInputMessage="1" showErrorMessage="1" errorTitle="Input parameter error" error="Input on or off" sqref="B18" xr:uid="{00000000-0002-0000-0D00-000000000000}">
      <formula1>"on,off"</formula1>
    </dataValidation>
    <dataValidation type="custom" allowBlank="1" showInputMessage="1" showErrorMessage="1" errorTitle="Input parameter error" error="Input parameter error,Input range from 16 to 1920,and is an integer multiple of 8" sqref="B2" xr:uid="{00000000-0002-0000-0D00-000001000000}">
      <formula1>AND(MOD(B2,8)=0,B2&gt;=16,B2&lt;=1920)</formula1>
    </dataValidation>
    <dataValidation type="whole" allowBlank="1" showInputMessage="1" showErrorMessage="1" error="exposure time range from 20us to 1s" sqref="B8" xr:uid="{00000000-0002-0000-0D00-000002000000}">
      <formula1>20</formula1>
      <formula2>1000000</formula2>
    </dataValidation>
    <dataValidation type="custom" allowBlank="1" showInputMessage="1" showErrorMessage="1" errorTitle="Input parameter error" error="Input parameter error,Input range from 2 to 1200,and is an integer multiple of 2" sqref="B3" xr:uid="{00000000-0002-0000-0D00-000003000000}">
      <formula1>AND(MOD(B3,2)=0,B3&gt;=2,B3&lt;=1200)</formula1>
    </dataValidation>
    <dataValidation type="custom" allowBlank="1" showInputMessage="1" showErrorMessage="1" errorTitle="Input parameter error" error="Input range from 0.1 to 10000,step 0.1" sqref="B19" xr:uid="{00000000-0002-0000-0D00-000004000000}">
      <formula1>AND(MOD(10*B19,1)=0,B19&gt;=0.1,B19&lt;=10000)</formula1>
    </dataValidation>
    <dataValidation type="whole" allowBlank="1" showInputMessage="1" showErrorMessage="1" error="exposure delay time range from 0 to 5000us" sqref="B9" xr:uid="{00000000-0002-0000-0D00-000005000000}">
      <formula1>0</formula1>
      <formula2>5000</formula2>
    </dataValidation>
    <dataValidation type="list" allowBlank="1" showInputMessage="1" showErrorMessage="1" errorTitle="Input parameter error" error="Input 8 or 10" sqref="B10" xr:uid="{00000000-0002-0000-0D00-000006000000}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1" xr:uid="{00000000-0002-0000-0D00-000007000000}">
      <formula1>OR(AND(B10=8,B11&gt;=35000000,B11&lt;=400000000,MOD(B11,1000000)=0),AND(B10=10,B11&gt;=70000000,B11&lt;=400000000,MOD(B11,1000000)=0))</formula1>
    </dataValidation>
    <dataValidation type="list" allowBlank="1" showInputMessage="1" showErrorMessage="1" errorTitle="Input parameter error" error="Input range is 1,2,4" sqref="B4:B7" xr:uid="{00000000-0002-0000-0D00-000008000000}">
      <formula1>"1,2,4"</formula1>
    </dataValidation>
  </dataValidations>
  <pageMargins left="0.7" right="0.7" top="0.75" bottom="0.75" header="0.3" footer="0.3"/>
  <pageSetup orientation="portrait" horizontalDpi="200" verticalDpi="2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22"/>
  <sheetViews>
    <sheetView workbookViewId="0">
      <selection activeCell="B19" sqref="B19"/>
    </sheetView>
  </sheetViews>
  <sheetFormatPr defaultColWidth="9" defaultRowHeight="15"/>
  <cols>
    <col min="1" max="1" width="35.85546875" style="2" customWidth="1"/>
    <col min="2" max="2" width="29.140625" style="2" customWidth="1"/>
    <col min="3" max="3" width="9" style="5"/>
    <col min="4" max="5" width="9" style="2"/>
    <col min="6" max="7" width="9" hidden="1" customWidth="1"/>
    <col min="8" max="8" width="12.28515625" hidden="1" customWidth="1"/>
    <col min="9" max="9" width="64.28515625" hidden="1" customWidth="1"/>
    <col min="10" max="10" width="59.28515625" hidden="1" customWidth="1"/>
    <col min="11" max="16384" width="9" style="2"/>
  </cols>
  <sheetData>
    <row r="1" spans="1:10">
      <c r="A1" s="153" t="s">
        <v>165</v>
      </c>
      <c r="B1" s="154"/>
      <c r="F1" s="2"/>
      <c r="G1" s="2"/>
      <c r="H1" s="2"/>
      <c r="I1" s="2"/>
      <c r="J1" s="2"/>
    </row>
    <row r="2" spans="1:10">
      <c r="A2" s="3" t="s">
        <v>166</v>
      </c>
      <c r="B2" s="4">
        <v>1920</v>
      </c>
      <c r="C2" s="5" t="str">
        <f>IF(OR(B2&gt;1920/B4,B2&lt;8),LOOKUP(B4,F3:F4,I3:I4),IF(B6=2,IF(OR(B2&gt;1920/B6,B2&lt;8),I10,""),""))</f>
        <v/>
      </c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1200</v>
      </c>
      <c r="C3" s="128" t="str">
        <f>IF(OR(B3&gt;1200/B5,B3&lt;2),LOOKUP(B5,F3:F4,J3:J4),IF(B7=2,IF(OR(B3&gt;1200/B7,B3&lt;2),J10,""),""))</f>
        <v/>
      </c>
      <c r="F3" s="2">
        <v>1</v>
      </c>
      <c r="G3" s="2">
        <f>8*INT(G6/(8*F3))</f>
        <v>1920</v>
      </c>
      <c r="H3" s="2">
        <f>2*INT(H6/(2*F3))</f>
        <v>1200</v>
      </c>
      <c r="I3" s="2" t="str">
        <f>"Input range from 8 to "&amp;G3&amp;",and is an integer multiple of 8"</f>
        <v>Input range from 8 to 1920,and is an integer multiple of 8</v>
      </c>
      <c r="J3" s="2" t="str">
        <f>"Input range from 2 to "&amp;H3&amp;",and is an integer multiple of 2"</f>
        <v>Input range from 2 to 1200,and is an integer multiple of 2</v>
      </c>
    </row>
    <row r="4" spans="1:10">
      <c r="A4" s="6" t="s">
        <v>187</v>
      </c>
      <c r="B4" s="7">
        <v>1</v>
      </c>
      <c r="F4" s="2">
        <v>2</v>
      </c>
      <c r="G4" s="2">
        <f>8*INT(G6/(8*F4))</f>
        <v>960</v>
      </c>
      <c r="H4" s="2">
        <f>2*INT(H6/(2*F4))</f>
        <v>600</v>
      </c>
      <c r="I4" s="2" t="str">
        <f>"Input range from 8 to "&amp;G4&amp;",and is an integer multiple of 8"</f>
        <v>Input range from 8 to 960,and is an integer multiple of 8</v>
      </c>
      <c r="J4" s="2" t="str">
        <f t="shared" ref="J4" si="0">"Input range from 2 to "&amp;H4&amp;",and is an integer multiple of 2"</f>
        <v>Input range from 2 to 600,and is an integer multiple of 2</v>
      </c>
    </row>
    <row r="5" spans="1:10">
      <c r="A5" s="6" t="s">
        <v>190</v>
      </c>
      <c r="B5" s="7">
        <v>1</v>
      </c>
      <c r="F5" s="2"/>
      <c r="G5" s="2"/>
      <c r="H5" s="2"/>
      <c r="I5" s="2" t="s">
        <v>194</v>
      </c>
      <c r="J5" s="2"/>
    </row>
    <row r="6" spans="1:10">
      <c r="A6" s="6" t="s">
        <v>193</v>
      </c>
      <c r="B6" s="7">
        <v>1</v>
      </c>
      <c r="C6" s="128" t="str">
        <f>IF(AND(B6&gt;1,B4&gt;1),"The horizonal binning and skipping are not set to be greater than 2 at the same time","")</f>
        <v/>
      </c>
      <c r="F6" s="2"/>
      <c r="G6" s="2">
        <v>1920</v>
      </c>
      <c r="H6" s="2">
        <v>1200</v>
      </c>
      <c r="I6" s="2"/>
      <c r="J6" s="2"/>
    </row>
    <row r="7" spans="1:10">
      <c r="A7" s="6" t="s">
        <v>195</v>
      </c>
      <c r="B7" s="7">
        <v>1</v>
      </c>
      <c r="C7" s="128" t="str">
        <f>IF(AND(B5&gt;1,B7&gt;1),"The vertical binning and skipping are not set to be greater than 2 at the same time","")</f>
        <v/>
      </c>
      <c r="F7" s="2"/>
      <c r="G7" s="2"/>
      <c r="H7" s="2"/>
      <c r="I7" s="2"/>
      <c r="J7" s="2"/>
    </row>
    <row r="8" spans="1:10">
      <c r="A8" s="3" t="s">
        <v>168</v>
      </c>
      <c r="B8" s="7">
        <v>10000</v>
      </c>
      <c r="F8" s="2" t="s">
        <v>198</v>
      </c>
      <c r="G8" s="2" t="s">
        <v>183</v>
      </c>
      <c r="H8" s="2" t="s">
        <v>184</v>
      </c>
      <c r="I8" s="2"/>
      <c r="J8" s="2"/>
    </row>
    <row r="9" spans="1:10">
      <c r="A9" s="3" t="s">
        <v>199</v>
      </c>
      <c r="B9" s="7">
        <v>0</v>
      </c>
      <c r="F9" s="2">
        <v>1</v>
      </c>
      <c r="G9" s="2">
        <f>8*INT(G12/(8*F9))</f>
        <v>1920</v>
      </c>
      <c r="H9" s="2">
        <f>2*INT(H12/(2*F9))</f>
        <v>1200</v>
      </c>
      <c r="I9" s="2" t="str">
        <f>"Input range from 8 to "&amp;G9&amp;",and is an integer multiple of 8"</f>
        <v>Input range from 8 to 1920,and is an integer multiple of 8</v>
      </c>
      <c r="J9" s="2" t="str">
        <f t="shared" ref="J9:J10" si="1">"Input range from 2 to "&amp;H9&amp;",and is an integer multiple of 2"</f>
        <v>Input range from 2 to 1200,and is an integer multiple of 2</v>
      </c>
    </row>
    <row r="10" spans="1:10">
      <c r="A10" s="3" t="s">
        <v>200</v>
      </c>
      <c r="B10" s="7">
        <v>8</v>
      </c>
      <c r="F10" s="2">
        <v>2</v>
      </c>
      <c r="G10" s="2">
        <f>8*INT(G12/(8*F10))</f>
        <v>960</v>
      </c>
      <c r="H10" s="2">
        <f>2*INT(H12/(2*F10))</f>
        <v>600</v>
      </c>
      <c r="I10" s="2" t="str">
        <f>"Input range from 8 to "&amp;G10&amp;",and is an integer multiple of 8"</f>
        <v>Input range from 8 to 960,and is an integer multiple of 8</v>
      </c>
      <c r="J10" s="2" t="str">
        <f t="shared" si="1"/>
        <v>Input range from 2 to 600,and is an integer multiple of 2</v>
      </c>
    </row>
    <row r="11" spans="1:10">
      <c r="A11" s="3" t="s">
        <v>170</v>
      </c>
      <c r="B11" s="7">
        <v>300000000</v>
      </c>
      <c r="F11" s="2"/>
      <c r="G11" s="2"/>
      <c r="H11" s="2"/>
      <c r="I11" s="2" t="s">
        <v>194</v>
      </c>
      <c r="J11" s="2"/>
    </row>
    <row r="12" spans="1:10" hidden="1">
      <c r="A12" s="3"/>
      <c r="B12" s="7"/>
      <c r="F12" s="2"/>
      <c r="G12" s="2">
        <v>1920</v>
      </c>
      <c r="H12" s="2">
        <v>1200</v>
      </c>
      <c r="I12" s="2"/>
      <c r="J12" s="2"/>
    </row>
    <row r="13" spans="1:10" hidden="1">
      <c r="A13" s="3" t="s">
        <v>171</v>
      </c>
      <c r="B13" s="7">
        <f>MAX(ROUNDUP((B8-13.73)/B16,0),1)</f>
        <v>502</v>
      </c>
      <c r="F13" s="2"/>
      <c r="G13" s="2"/>
      <c r="H13" s="2"/>
      <c r="I13" s="2"/>
      <c r="J13" s="2"/>
    </row>
    <row r="14" spans="1:10" hidden="1">
      <c r="A14" s="3" t="s">
        <v>172</v>
      </c>
      <c r="B14" s="7" t="str">
        <f>IF((B10&lt;=8),"1","2")</f>
        <v>1</v>
      </c>
      <c r="F14" s="2"/>
      <c r="G14" s="2"/>
      <c r="H14" s="2"/>
      <c r="I14" s="2"/>
      <c r="J14" s="2"/>
    </row>
    <row r="15" spans="1:10" hidden="1">
      <c r="A15" s="3" t="s">
        <v>173</v>
      </c>
      <c r="B15" s="7">
        <f>B2*B3*B14+84</f>
        <v>2304084</v>
      </c>
      <c r="F15" s="2"/>
      <c r="G15" s="2"/>
      <c r="H15" s="2"/>
      <c r="I15" s="2"/>
      <c r="J15" s="2"/>
    </row>
    <row r="16" spans="1:10" hidden="1">
      <c r="A16" s="3" t="s">
        <v>174</v>
      </c>
      <c r="B16" s="7">
        <f>ROUNDUP(I16/37.5*1000,10)/1000</f>
        <v>19.899999999999999</v>
      </c>
      <c r="F16" s="2"/>
      <c r="G16" s="2"/>
      <c r="H16" s="2" t="s">
        <v>210</v>
      </c>
      <c r="I16" s="2">
        <v>746.25</v>
      </c>
      <c r="J16" s="2"/>
    </row>
    <row r="17" spans="1:10" hidden="1">
      <c r="A17" s="3" t="s">
        <v>175</v>
      </c>
      <c r="B17" s="7">
        <f>(B3*B5*B7+38)*B16</f>
        <v>24636.199999999997</v>
      </c>
      <c r="F17" s="2"/>
      <c r="G17" s="2"/>
      <c r="H17" s="2" t="s">
        <v>211</v>
      </c>
      <c r="I17" s="2">
        <f>ROUNDUP((B13+14)*B16,0)+ROUNDUP(B9/B16,0)*B16</f>
        <v>10269</v>
      </c>
      <c r="J17" s="2"/>
    </row>
    <row r="18" spans="1:10">
      <c r="A18" s="3" t="s">
        <v>176</v>
      </c>
      <c r="B18" s="7" t="s">
        <v>177</v>
      </c>
      <c r="C18" s="128" t="str">
        <f>IF(OR(B3&gt;1200/B5,B3&lt;2,B2&gt;1920/B4,B2&lt;8),I5,IF(OR(AND(B6=2,OR(B2&gt;1920/B6,B2&lt;8)),AND(B7=2,OR(B3&gt;1200/B7,B3&lt;2))),I11,""))</f>
        <v/>
      </c>
      <c r="H18" t="s">
        <v>212</v>
      </c>
      <c r="I18" s="2">
        <f>ROUNDUP((B3*B5*B7+38)*B16,0)</f>
        <v>24637</v>
      </c>
    </row>
    <row r="19" spans="1:10">
      <c r="A19" s="3" t="s">
        <v>178</v>
      </c>
      <c r="B19" s="7">
        <v>41</v>
      </c>
      <c r="H19" s="2" t="s">
        <v>213</v>
      </c>
      <c r="I19">
        <f>ROUNDUP(MAX(ROUNDUP(B15*1000000/397000000/B16,0),ROUNDUP(B15*1000000/B11/B16,0))*B16,0)</f>
        <v>7682</v>
      </c>
    </row>
    <row r="20" spans="1:10" hidden="1">
      <c r="A20" s="6" t="s">
        <v>179</v>
      </c>
      <c r="B20" s="95">
        <f>MAX(I17,I18,I19,I20)</f>
        <v>24637</v>
      </c>
      <c r="H20" s="2" t="s">
        <v>214</v>
      </c>
      <c r="I20">
        <f>B16*(IF(B18="off",0,1))*ROUNDUP(1000*1000/(B16*B19),0)</f>
        <v>0</v>
      </c>
    </row>
    <row r="21" spans="1:10">
      <c r="A21" s="155" t="s">
        <v>180</v>
      </c>
      <c r="B21" s="156"/>
    </row>
    <row r="22" spans="1:10" ht="22.5">
      <c r="A22" s="11" t="s">
        <v>181</v>
      </c>
      <c r="B22" s="12">
        <f>1000000/B20</f>
        <v>40.589357470471242</v>
      </c>
    </row>
  </sheetData>
  <sheetProtection sheet="1" objects="1" scenarios="1" selectLockedCells="1"/>
  <mergeCells count="2">
    <mergeCell ref="A1:B1"/>
    <mergeCell ref="A21:B21"/>
  </mergeCells>
  <phoneticPr fontId="21" type="noConversion"/>
  <conditionalFormatting sqref="B2">
    <cfRule type="cellIs" dxfId="198" priority="15" operator="notBetween">
      <formula>8</formula>
      <formula>$G$12</formula>
    </cfRule>
    <cfRule type="cellIs" dxfId="197" priority="16" operator="notBetween">
      <formula>8</formula>
      <formula>$G$6</formula>
    </cfRule>
  </conditionalFormatting>
  <conditionalFormatting sqref="B3">
    <cfRule type="cellIs" dxfId="196" priority="17" operator="notBetween">
      <formula>2</formula>
      <formula>$H$6</formula>
    </cfRule>
    <cfRule type="cellIs" dxfId="195" priority="18" operator="notBetween">
      <formula>2</formula>
      <formula>$H$12</formula>
    </cfRule>
  </conditionalFormatting>
  <conditionalFormatting sqref="B4">
    <cfRule type="expression" dxfId="194" priority="4">
      <formula>AND(B6&gt;1,B4&gt;1)</formula>
    </cfRule>
  </conditionalFormatting>
  <conditionalFormatting sqref="B5">
    <cfRule type="expression" dxfId="193" priority="2">
      <formula>AND(B5&gt;1,B7&gt;1)</formula>
    </cfRule>
  </conditionalFormatting>
  <conditionalFormatting sqref="B6">
    <cfRule type="expression" dxfId="192" priority="3">
      <formula>AND(B6&gt;1,B4&gt;1)</formula>
    </cfRule>
  </conditionalFormatting>
  <conditionalFormatting sqref="B7">
    <cfRule type="expression" dxfId="191" priority="1">
      <formula>AND(B5&gt;1,B7&gt;1)</formula>
    </cfRule>
  </conditionalFormatting>
  <dataValidations count="9">
    <dataValidation type="custom" allowBlank="1" showInputMessage="1" showErrorMessage="1" errorTitle="Input parameter error" error="Input range from 0.1 to 10000,step 0.1" sqref="B19" xr:uid="{00000000-0002-0000-0E00-000000000000}">
      <formula1>AND(MOD(10*B19,1)=0,B19&gt;=0.1,B19&lt;=10000)</formula1>
    </dataValidation>
    <dataValidation type="whole" allowBlank="1" showInputMessage="1" showErrorMessage="1" error="exposure delay time range from 0 to 5000us" sqref="B9" xr:uid="{00000000-0002-0000-0E00-000001000000}">
      <formula1>0</formula1>
      <formula2>5000</formula2>
    </dataValidation>
    <dataValidation type="custom" allowBlank="1" showInputMessage="1" showErrorMessage="1" errorTitle="Input parameter error" error="Input parameter error,Input range from 8 to 1920,and is an integer multiple of 8" sqref="B2" xr:uid="{00000000-0002-0000-0E00-000002000000}">
      <formula1>AND(MOD(B2,8)=0,B2&gt;=8,B2&lt;=1920)</formula1>
    </dataValidation>
    <dataValidation type="whole" allowBlank="1" showInputMessage="1" showErrorMessage="1" error="exposure time range from 20us to 1s" sqref="B8" xr:uid="{00000000-0002-0000-0E00-000003000000}">
      <formula1>20</formula1>
      <formula2>1000000</formula2>
    </dataValidation>
    <dataValidation type="custom" allowBlank="1" showInputMessage="1" showErrorMessage="1" errorTitle="Input parameter error" error="Input parameter error,Input range from 2 to 1200,and is an integer multiple of 2" sqref="B3" xr:uid="{00000000-0002-0000-0E00-000004000000}">
      <formula1>AND(MOD(B3,2)=0,B3&gt;=2,B3&lt;=1200)</formula1>
    </dataValidation>
    <dataValidation type="list" allowBlank="1" showInputMessage="1" showErrorMessage="1" errorTitle="Input parameter error" error="Input 8/10/12" sqref="B10" xr:uid="{00000000-0002-0000-0E00-000005000000}">
      <formula1>"8,10,12"</formula1>
    </dataValidation>
    <dataValidation type="custom" allowBlank="1" showInputMessage="1" showErrorMessage="1" errorTitle="Input parameter error" error="8bit mode range from 35000000 to 400000000,step 1000000;_x000a_10/12bit mode range from 70000000 to 400000000,step 1000000" sqref="B11" xr:uid="{00000000-0002-0000-0E00-000006000000}">
      <formula1>OR(AND(B10=8,B11&gt;=35000000,B11&lt;=400000000,MOD(B11,1000000)=0),AND(OR(B10=10,B10=12),B11&gt;=70000000,B11&lt;=400000000,MOD(B11,1000000)=0))</formula1>
    </dataValidation>
    <dataValidation type="list" allowBlank="1" showInputMessage="1" showErrorMessage="1" errorTitle="Input parameter error" error="Input on or off" sqref="B18" xr:uid="{00000000-0002-0000-0E00-000007000000}">
      <formula1>"on,off"</formula1>
    </dataValidation>
    <dataValidation type="list" allowBlank="1" showInputMessage="1" showErrorMessage="1" errorTitle="Input parameter error" error="Input range is 1,2" sqref="B4:B7" xr:uid="{00000000-0002-0000-0E00-000008000000}">
      <formula1>"1,2"</formula1>
    </dataValidation>
  </dataValidations>
  <pageMargins left="0.7" right="0.7" top="0.75" bottom="0.75" header="0.3" footer="0.3"/>
  <pageSetup orientation="portrait" horizontalDpi="200" verticalDpi="2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44"/>
  <sheetViews>
    <sheetView workbookViewId="0">
      <selection activeCell="D47" sqref="D47"/>
    </sheetView>
  </sheetViews>
  <sheetFormatPr defaultColWidth="9" defaultRowHeight="15"/>
  <cols>
    <col min="1" max="1" width="36.85546875" customWidth="1"/>
    <col min="2" max="2" width="23.7109375" customWidth="1"/>
    <col min="3" max="3" width="31.42578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2048</v>
      </c>
      <c r="C2" s="5" t="str">
        <f>IF(OR(B2&gt;G7/B4,B2&lt;16),LOOKUP(B4,F3:F5,I3:I5),IF(OR(B2&gt;G7/B6,B2&lt;16),LOOKUP(B6,F12:F14,I12:I14),""))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1200</v>
      </c>
      <c r="C3" s="5" t="str">
        <f>IF(OR(B3&gt;H7/B5,B3&lt;2),LOOKUP(B5,F3:F5,J3:J5),IF(OR(B3&gt;H7/B7,B3&lt;2),LOOKUP(B7,F12:F14,J11:J13),""))</f>
        <v/>
      </c>
      <c r="D3" s="2"/>
      <c r="E3" s="2"/>
      <c r="F3" s="2">
        <v>1</v>
      </c>
      <c r="G3" s="2">
        <f>8*INT(G7/(8*F3))</f>
        <v>2048</v>
      </c>
      <c r="H3" s="2">
        <f>2*INT(H7/(2*F3))</f>
        <v>1200</v>
      </c>
      <c r="I3" s="2" t="str">
        <f>"Input range from 16 to "&amp;G3&amp;",and is an integer multiple of 8"</f>
        <v>Input range from 16 to 2048,and is an integer multiple of 8</v>
      </c>
      <c r="J3" s="2" t="str">
        <f>"Input range from 2 to "&amp;H3&amp;",and is an integer multiple of 2"</f>
        <v>Input range from 2 to 1200,and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8*INT(G7/(8*F4))</f>
        <v>1024</v>
      </c>
      <c r="H4" s="2">
        <f>2*INT(H7/(2*F4))</f>
        <v>600</v>
      </c>
      <c r="I4" s="2" t="str">
        <f>"Input range from 16 to "&amp;G4&amp;",and is an integer multiple of 8"</f>
        <v>Input range from 16 to 1024,and is an integer multiple of 8</v>
      </c>
      <c r="J4" s="2" t="str">
        <f>"Input range from 2 to "&amp;H4&amp;",and is an integer multiple of 2"</f>
        <v>Input range from 2 to 600,and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8*INT(G7/(8*F5))</f>
        <v>512</v>
      </c>
      <c r="H5" s="2">
        <f>2*INT(H7/(2*F5))</f>
        <v>300</v>
      </c>
      <c r="I5" s="2" t="str">
        <f>"Input range from 16 to "&amp;G5&amp;",and is an integer multiple of 8"</f>
        <v>Input range from 16 to 512,and is an integer multiple of 8</v>
      </c>
      <c r="J5" s="2" t="str">
        <f>"Input range from 2 to "&amp;H5&amp;",and is an integer multiple of 2"</f>
        <v>Input range from 2 to 300,and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v>2048</v>
      </c>
      <c r="H7" s="2">
        <v>1200</v>
      </c>
      <c r="I7" s="2"/>
      <c r="J7" s="2"/>
    </row>
    <row r="8" spans="1:10">
      <c r="A8" s="3" t="s">
        <v>168</v>
      </c>
      <c r="B8" s="7">
        <v>10000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200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1200,and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8*INT(G15/(8*F11))</f>
        <v>2048</v>
      </c>
      <c r="H11" s="2">
        <f>2*INT(H15/(2*F11))</f>
        <v>1200</v>
      </c>
      <c r="I11" s="2" t="str">
        <f>"Input range from 16 to "&amp;G11&amp;",and is an integer multiple of 8"</f>
        <v>Input range from 16 to 2048,and is an integer multiple of 8</v>
      </c>
      <c r="J11" s="2" t="str">
        <f>"Input range from 2 to "&amp;H12&amp;",and is an integer multiple of 2"</f>
        <v>Input range from 2 to 600,and is an integer multiple of 2</v>
      </c>
    </row>
    <row r="12" spans="1:10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8*INT(G15/(8*F12))</f>
        <v>1024</v>
      </c>
      <c r="H12" s="2">
        <f>2*INT(H15/(2*F12))</f>
        <v>600</v>
      </c>
      <c r="I12" s="2" t="str">
        <f>"Input range from 16 to "&amp;G12&amp;",and is an integer multiple of 8"</f>
        <v>Input range from 16 to 1024,and is an integer multiple of 8</v>
      </c>
      <c r="J12" s="2" t="str">
        <f>"Input range from 2 to "&amp;H13&amp;",and is an integer multiple of 2"</f>
        <v>Input range from 2 to 300,and is an integer multiple of 2</v>
      </c>
    </row>
    <row r="13" spans="1:10">
      <c r="A13" s="3" t="s">
        <v>178</v>
      </c>
      <c r="B13" s="7">
        <v>159.4</v>
      </c>
      <c r="C13" s="2"/>
      <c r="D13" s="2"/>
      <c r="E13" s="2"/>
      <c r="F13" s="2">
        <v>4</v>
      </c>
      <c r="G13" s="2">
        <f>8*INT(G15/(8*F13))</f>
        <v>512</v>
      </c>
      <c r="H13" s="2">
        <f>2*INT(H15/(2*F13))</f>
        <v>300</v>
      </c>
      <c r="I13" s="2" t="str">
        <f>"Input range from 16 to "&amp;G13&amp;",and is an integer multiple of 8"</f>
        <v>Input range from 16 to 512,and is an integer multiple of 8</v>
      </c>
      <c r="J13" s="2"/>
    </row>
    <row r="14" spans="1:10" hidden="1">
      <c r="A14" s="98" t="s">
        <v>285</v>
      </c>
      <c r="B14" s="99">
        <f>IF(B10=8,335,670)</f>
        <v>335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idden="1">
      <c r="A15" s="98" t="s">
        <v>275</v>
      </c>
      <c r="B15" s="99">
        <v>24</v>
      </c>
      <c r="C15" s="2"/>
      <c r="D15" s="2"/>
      <c r="E15" s="2"/>
      <c r="F15" s="2"/>
      <c r="G15" s="2">
        <v>2048</v>
      </c>
      <c r="H15" s="2">
        <v>1200</v>
      </c>
      <c r="I15" s="2"/>
      <c r="J15" s="2"/>
    </row>
    <row r="16" spans="1:10" hidden="1">
      <c r="A16" s="98" t="s">
        <v>286</v>
      </c>
      <c r="B16" s="99">
        <v>3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98" t="s">
        <v>287</v>
      </c>
      <c r="B17" s="99">
        <v>245</v>
      </c>
      <c r="C17" s="2"/>
      <c r="D17" s="2"/>
      <c r="E17" s="2"/>
      <c r="F17" s="2"/>
      <c r="G17" s="2"/>
      <c r="H17" s="2"/>
      <c r="I17" s="2"/>
      <c r="J17" s="2"/>
    </row>
    <row r="18" spans="1:10" hidden="1">
      <c r="A18" s="100" t="s">
        <v>288</v>
      </c>
      <c r="B18" s="99">
        <v>0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100" t="s">
        <v>289</v>
      </c>
      <c r="B19" s="99">
        <v>1</v>
      </c>
      <c r="C19" s="2"/>
      <c r="D19" s="2"/>
      <c r="E19" s="2"/>
      <c r="F19" s="2"/>
      <c r="G19" s="2"/>
      <c r="H19" s="2"/>
      <c r="I19" s="2"/>
      <c r="J19" s="2"/>
    </row>
    <row r="20" spans="1:10" hidden="1">
      <c r="A20" s="98" t="s">
        <v>290</v>
      </c>
      <c r="B20" s="99">
        <f>ROUNDUP(23*ROUNDUP(1000*B14*1/66.67,0)+3.8,0)</f>
        <v>115579</v>
      </c>
      <c r="C20" s="2"/>
      <c r="D20" s="2"/>
      <c r="E20" s="2"/>
      <c r="F20" s="2"/>
      <c r="G20" s="2"/>
      <c r="H20" s="2"/>
      <c r="I20" s="2"/>
      <c r="J20" s="2"/>
    </row>
    <row r="21" spans="1:10" hidden="1">
      <c r="A21" s="100" t="s">
        <v>291</v>
      </c>
      <c r="B21" s="99">
        <f>ROUNDUP(1*B14/66.67*1000,0)</f>
        <v>5025</v>
      </c>
      <c r="C21" s="2"/>
      <c r="D21" s="2"/>
      <c r="E21" s="2"/>
      <c r="F21" s="2"/>
      <c r="G21" s="2"/>
      <c r="H21" s="2"/>
      <c r="I21" s="2"/>
      <c r="J21" s="2"/>
    </row>
    <row r="22" spans="1:10" hidden="1">
      <c r="A22" s="100" t="s">
        <v>292</v>
      </c>
      <c r="B22" s="99">
        <f>ROUNDUP((1000*B8-1000*B17/75)/1000,0)</f>
        <v>9997</v>
      </c>
      <c r="C22" s="2"/>
      <c r="D22" s="2"/>
      <c r="E22" s="2"/>
      <c r="F22" s="2"/>
      <c r="G22" s="2"/>
      <c r="H22" s="2"/>
      <c r="I22" s="2"/>
      <c r="J22" s="2"/>
    </row>
    <row r="23" spans="1:10" hidden="1">
      <c r="A23" s="98" t="s">
        <v>293</v>
      </c>
      <c r="B23" s="99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idden="1">
      <c r="A24" s="98" t="s">
        <v>294</v>
      </c>
      <c r="B24" s="99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idden="1">
      <c r="A25" s="101" t="s">
        <v>295</v>
      </c>
      <c r="B25" s="102">
        <f>ROUNDUP(((B3*B5+B15+B19)*B21+B20)/1000,0)</f>
        <v>6272</v>
      </c>
      <c r="C25" s="2"/>
      <c r="D25" s="2"/>
      <c r="E25" s="2"/>
      <c r="F25" s="2"/>
      <c r="G25" s="2"/>
      <c r="H25" s="2"/>
      <c r="I25" s="2"/>
      <c r="J25" s="2"/>
    </row>
    <row r="26" spans="1:10" hidden="1">
      <c r="A26" s="100" t="s">
        <v>296</v>
      </c>
      <c r="B26" s="103">
        <f>ROUNDUP(B8+B9-B17/66.67+3*B21/1000+B20/1000,0)</f>
        <v>10127</v>
      </c>
      <c r="C26" s="2"/>
      <c r="D26" s="2"/>
      <c r="E26" s="2"/>
      <c r="F26" s="2"/>
      <c r="G26" s="2"/>
      <c r="H26" s="2"/>
      <c r="I26" s="2"/>
      <c r="J26" s="2"/>
    </row>
    <row r="27" spans="1:10" hidden="1">
      <c r="A27" s="100" t="s">
        <v>297</v>
      </c>
      <c r="B27" s="99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idden="1">
      <c r="A28" s="100" t="s">
        <v>298</v>
      </c>
      <c r="B28" s="103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idden="1">
      <c r="A29" s="98" t="s">
        <v>299</v>
      </c>
      <c r="B29" s="99">
        <v>3950</v>
      </c>
      <c r="C29" s="2"/>
      <c r="D29" s="2"/>
      <c r="E29" s="2"/>
      <c r="F29" s="2"/>
      <c r="G29" s="2"/>
      <c r="H29" s="2"/>
      <c r="I29" s="2"/>
      <c r="J29" s="2"/>
    </row>
    <row r="30" spans="1:10" hidden="1">
      <c r="A30" s="98" t="s">
        <v>300</v>
      </c>
      <c r="B30" s="99">
        <f>B2*B3*IF(B10=8,1,2)</f>
        <v>2457600</v>
      </c>
      <c r="C30" s="2"/>
      <c r="D30" s="2"/>
      <c r="E30" s="2"/>
      <c r="F30" s="2"/>
      <c r="G30" s="2"/>
      <c r="H30" s="2"/>
      <c r="I30" s="2"/>
      <c r="J30" s="2"/>
    </row>
    <row r="31" spans="1:10" hidden="1">
      <c r="A31" s="98" t="s">
        <v>301</v>
      </c>
      <c r="B31" s="99">
        <f>52+32+B30</f>
        <v>2457684</v>
      </c>
      <c r="C31" s="2"/>
      <c r="D31" s="2"/>
      <c r="E31" s="2"/>
      <c r="F31" s="2"/>
      <c r="G31" s="2"/>
      <c r="H31" s="2"/>
      <c r="I31" s="2"/>
      <c r="J31" s="2"/>
    </row>
    <row r="32" spans="1:10" hidden="1">
      <c r="A32" s="100" t="s">
        <v>302</v>
      </c>
      <c r="B32" s="103">
        <f>ROUNDUP(MAX((B31*1000000/B11),B31*10/B29),0)</f>
        <v>8193</v>
      </c>
      <c r="C32" s="2"/>
      <c r="D32" s="2"/>
      <c r="E32" s="2"/>
      <c r="F32" s="2"/>
      <c r="G32" s="2"/>
      <c r="H32" s="2"/>
      <c r="I32" s="2"/>
      <c r="J32" s="2"/>
    </row>
    <row r="33" spans="1:10" hidden="1">
      <c r="A33" s="98" t="s">
        <v>179</v>
      </c>
      <c r="B33" s="99">
        <f>MAX(B25,B26,B28,B32)+B24</f>
        <v>10127</v>
      </c>
      <c r="C33" s="2"/>
      <c r="D33" s="2"/>
      <c r="E33" s="2"/>
      <c r="F33" s="2"/>
      <c r="G33" s="2"/>
      <c r="H33" s="2"/>
      <c r="I33" s="2"/>
      <c r="J33" s="2"/>
    </row>
    <row r="34" spans="1:10">
      <c r="A34" s="164" t="s">
        <v>180</v>
      </c>
      <c r="B34" s="164"/>
      <c r="C34" s="2"/>
      <c r="D34" s="2"/>
      <c r="E34" s="2"/>
      <c r="F34" s="2"/>
      <c r="G34" s="2"/>
      <c r="H34" s="2"/>
      <c r="I34" s="2"/>
      <c r="J34" s="2"/>
    </row>
    <row r="35" spans="1:10" ht="22.5">
      <c r="A35" s="11" t="s">
        <v>181</v>
      </c>
      <c r="B35" s="12">
        <f>1000000/B33</f>
        <v>98.74592673052237</v>
      </c>
      <c r="C35" s="2"/>
      <c r="D35" s="2"/>
      <c r="E35" s="2"/>
      <c r="F35" s="2"/>
      <c r="G35" s="2"/>
      <c r="H35" s="2"/>
      <c r="I35" s="2"/>
      <c r="J35" s="2"/>
    </row>
    <row r="36" spans="1:10">
      <c r="C36" s="2"/>
      <c r="D36" s="2"/>
      <c r="E36" s="2"/>
      <c r="F36" s="2"/>
      <c r="G36" s="2"/>
      <c r="H36" s="2"/>
      <c r="I36" s="2"/>
      <c r="J36" s="2"/>
    </row>
    <row r="37" spans="1:10">
      <c r="C37" s="5"/>
      <c r="D37" s="2"/>
      <c r="E37" s="2"/>
      <c r="F37" s="2"/>
      <c r="G37" s="2"/>
      <c r="H37" s="2"/>
      <c r="I37" s="2"/>
      <c r="J37" s="2"/>
    </row>
    <row r="38" spans="1:10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5FbsOCe9kYTmGjMAxBZWonCuQXY64nk5meuyNF36DENdxH+PW8XcauKZhI2n7PFYeSjrvwfJwPDzq31l9qj/bA==" saltValue="O8Pf3nzizajS3X6rX09S+g==" spinCount="100000" sheet="1" objects="1" scenarios="1"/>
  <mergeCells count="1">
    <mergeCell ref="A34:B34"/>
  </mergeCells>
  <phoneticPr fontId="21" type="noConversion"/>
  <conditionalFormatting sqref="B2">
    <cfRule type="cellIs" dxfId="190" priority="5" operator="notBetween">
      <formula>8</formula>
      <formula>$G$7</formula>
    </cfRule>
    <cfRule type="cellIs" dxfId="189" priority="6" operator="notBetween">
      <formula>8</formula>
      <formula>$G$15</formula>
    </cfRule>
  </conditionalFormatting>
  <conditionalFormatting sqref="B3">
    <cfRule type="cellIs" dxfId="188" priority="7" operator="notBetween">
      <formula>2</formula>
      <formula>$H$7</formula>
    </cfRule>
    <cfRule type="cellIs" dxfId="187" priority="8" operator="notBetween">
      <formula>2</formula>
      <formula>$H$15</formula>
    </cfRule>
  </conditionalFormatting>
  <conditionalFormatting sqref="B4">
    <cfRule type="expression" dxfId="186" priority="4">
      <formula>AND(B6&gt;1,B4&gt;1)</formula>
    </cfRule>
  </conditionalFormatting>
  <conditionalFormatting sqref="B5">
    <cfRule type="expression" dxfId="185" priority="2">
      <formula>AND(B5&gt;1,B7&gt;1)</formula>
    </cfRule>
  </conditionalFormatting>
  <conditionalFormatting sqref="B6">
    <cfRule type="expression" dxfId="184" priority="3">
      <formula>AND(B6&gt;1,B4&gt;1)</formula>
    </cfRule>
  </conditionalFormatting>
  <conditionalFormatting sqref="B7">
    <cfRule type="expression" dxfId="183" priority="1">
      <formula>AND(B5&gt;1,B7&gt;1)</formula>
    </cfRule>
  </conditionalFormatting>
  <dataValidations count="9">
    <dataValidation type="whole" allowBlank="1" showInputMessage="1" showErrorMessage="1" errorTitle="Input parameter error" error="Input range from 11 to 1000000" sqref="B8" xr:uid="{00000000-0002-0000-0F00-000000000000}">
      <formula1>11</formula1>
      <formula2>1000000</formula2>
    </dataValidation>
    <dataValidation type="custom" allowBlank="1" showInputMessage="1" showErrorMessage="1" errorTitle="Input parameter error" error="Input parameter is out of range or cannot be divided by 8" sqref="B2" xr:uid="{00000000-0002-0000-0F00-000001000000}">
      <formula1>AND(MOD(B2,8)=0,B2&gt;=16,B2&lt;=G7/B4,B2&lt;=G7/B6)</formula1>
    </dataValidation>
    <dataValidation type="list" allowBlank="1" showInputMessage="1" showErrorMessage="1" errorTitle="Input parameter error" error="Input 8 or 10 or 12" sqref="B10" xr:uid="{00000000-0002-0000-0F00-000002000000}">
      <formula1>"8,10,12"</formula1>
    </dataValidation>
    <dataValidation type="custom" allowBlank="1" showInputMessage="1" showErrorMessage="1" errorTitle="Input parameter error" error="Input parameter is out of range or cannot be divided by 2" sqref="B3" xr:uid="{00000000-0002-0000-0F00-000003000000}">
      <formula1>AND(MOD(B3,2)=0,B3&gt;=2,B3&lt;=H7/B5,B3&lt;=H7/B7)</formula1>
    </dataValidation>
    <dataValidation type="whole" allowBlank="1" showInputMessage="1" showErrorMessage="1" errorTitle="Input parameter error" error="Input range from 0 to 5000" sqref="B9" xr:uid="{00000000-0002-0000-0F00-000004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1" xr:uid="{00000000-0002-0000-0F00-000005000000}">
      <formula1>OR(AND(B10=8,B11&gt;=35000000,B11&lt;=400000000,MOD(B11,1000000)=0),AND(OR(B10=10,B10=12),B11&gt;=70000000,B11&lt;=400000000,MOD(B11,1000000)=0))</formula1>
    </dataValidation>
    <dataValidation type="list" allowBlank="1" showInputMessage="1" showErrorMessage="1" errorTitle="Input parameter error" error="Input on or off" sqref="B12" xr:uid="{00000000-0002-0000-0F00-000006000000}">
      <formula1>"on,off"</formula1>
    </dataValidation>
    <dataValidation type="custom" allowBlank="1" showInputMessage="1" showErrorMessage="1" errorTitle="参数输入错误" error="输入范围为0.1-10000，步进值为0.1" sqref="B13" xr:uid="{00000000-0002-0000-0F00-000007000000}">
      <formula1>AND(MOD(10*B13,1)=0,B13&gt;=0.1,B13&lt;=10000)</formula1>
    </dataValidation>
    <dataValidation type="list" allowBlank="1" showInputMessage="1" showErrorMessage="1" errorTitle="Input parameter error" error="Input range is 1,2,4" sqref="B4:B7" xr:uid="{00000000-0002-0000-0F00-000008000000}">
      <formula1>"1,2,4"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4"/>
  <sheetViews>
    <sheetView workbookViewId="0">
      <selection activeCell="B2" sqref="B2"/>
    </sheetView>
  </sheetViews>
  <sheetFormatPr defaultColWidth="9" defaultRowHeight="15"/>
  <cols>
    <col min="1" max="1" width="40.5703125" style="81" customWidth="1"/>
    <col min="2" max="2" width="16.5703125" style="81" customWidth="1"/>
    <col min="3" max="3" width="82.5703125" style="121" customWidth="1"/>
    <col min="4" max="5" width="9" style="81"/>
    <col min="6" max="6" width="12.7109375" style="81" customWidth="1"/>
    <col min="7" max="7" width="12.7109375" style="81" hidden="1" customWidth="1"/>
    <col min="8" max="8" width="8.85546875" style="81" hidden="1" customWidth="1"/>
    <col min="9" max="9" width="13.85546875" style="81" hidden="1" customWidth="1"/>
    <col min="10" max="10" width="57.7109375" style="81" hidden="1" customWidth="1"/>
    <col min="11" max="11" width="44.5703125" style="81" hidden="1" customWidth="1"/>
    <col min="12" max="12" width="24.140625" style="81" customWidth="1"/>
    <col min="13" max="13" width="24.7109375" style="81" customWidth="1"/>
    <col min="14" max="16384" width="9" style="81"/>
  </cols>
  <sheetData>
    <row r="1" spans="1:13">
      <c r="A1" s="153" t="s">
        <v>165</v>
      </c>
      <c r="B1" s="154"/>
    </row>
    <row r="2" spans="1:13">
      <c r="A2" s="3" t="s">
        <v>166</v>
      </c>
      <c r="B2" s="122">
        <v>2048</v>
      </c>
      <c r="C2" s="121" t="str">
        <f>IF(AND(B4&gt;1,OR(B6&gt;1,B7&gt;1)),"Please confirm the belowing settings first",IF(OR(B2&gt;2048/B6,B2&lt;16),LOOKUP(B6,G3:G5,J3:J5),IF(B4=2,IF(OR(B2&gt;2048/B4,B2&lt;2048/B4),J12,""),"")))</f>
        <v/>
      </c>
      <c r="G2" s="81" t="s">
        <v>182</v>
      </c>
      <c r="H2" s="81" t="s">
        <v>183</v>
      </c>
      <c r="I2" s="81" t="s">
        <v>184</v>
      </c>
    </row>
    <row r="3" spans="1:13">
      <c r="A3" s="3" t="s">
        <v>167</v>
      </c>
      <c r="B3" s="122">
        <v>1536</v>
      </c>
      <c r="C3" s="121" t="str">
        <f>IF(AND(B4&gt;1,OR(B6&gt;1,B7&gt;1)),"Please confirm the belowing settings first",IF(OR(B3&gt;1536/B7,B3&lt;2),LOOKUP(B7,G3:G5,K3:K5),IF(B4=2,IF(OR(B3&gt;1536/B4,B3&lt;1536/B4),K12,""),"")))</f>
        <v/>
      </c>
      <c r="G3" s="81">
        <v>1</v>
      </c>
      <c r="H3" s="81">
        <f>8*INT(H7/(8*G3))</f>
        <v>2048</v>
      </c>
      <c r="I3" s="81">
        <f>2*INT(I7/(2*G3))</f>
        <v>1536</v>
      </c>
      <c r="J3" s="79" t="s">
        <v>303</v>
      </c>
      <c r="K3" s="79" t="s">
        <v>304</v>
      </c>
    </row>
    <row r="4" spans="1:13">
      <c r="A4" s="6" t="s">
        <v>238</v>
      </c>
      <c r="B4" s="7">
        <v>1</v>
      </c>
      <c r="G4" s="81">
        <v>2</v>
      </c>
      <c r="H4" s="81">
        <f>8*INT(H7/(8*G4))</f>
        <v>1024</v>
      </c>
      <c r="I4" s="81">
        <f>2*INT(I7/(2*G4))</f>
        <v>768</v>
      </c>
      <c r="J4" s="79" t="s">
        <v>305</v>
      </c>
      <c r="K4" s="79" t="s">
        <v>306</v>
      </c>
      <c r="L4" s="79"/>
      <c r="M4" s="127"/>
    </row>
    <row r="5" spans="1:13">
      <c r="A5" s="6" t="s">
        <v>240</v>
      </c>
      <c r="B5" s="95">
        <f>B4</f>
        <v>1</v>
      </c>
      <c r="G5" s="81">
        <v>4</v>
      </c>
      <c r="H5" s="81">
        <f>8*INT(H7/(8*G5))</f>
        <v>512</v>
      </c>
      <c r="I5" s="81">
        <f>2*INT(I7/(2*G5))</f>
        <v>384</v>
      </c>
      <c r="J5" s="79" t="s">
        <v>307</v>
      </c>
      <c r="K5" s="79" t="s">
        <v>308</v>
      </c>
      <c r="L5" s="127"/>
      <c r="M5" s="127"/>
    </row>
    <row r="6" spans="1:13">
      <c r="A6" s="123" t="s">
        <v>187</v>
      </c>
      <c r="B6" s="7">
        <v>1</v>
      </c>
      <c r="C6" s="5" t="str">
        <f>IF(AND(B6&gt;1,B4&gt;1),"Horizontal Binning and Skipping cannot be set greater than 2 at the same time",IF(AND(B8="Sensor",B6&gt;1),"Only supports BinningHorizontal of 1 when BinningSelect is Sensor mode",""))</f>
        <v/>
      </c>
      <c r="J6" s="81" t="s">
        <v>194</v>
      </c>
      <c r="L6" s="127"/>
      <c r="M6" s="127"/>
    </row>
    <row r="7" spans="1:13">
      <c r="A7" s="123" t="s">
        <v>190</v>
      </c>
      <c r="B7" s="7">
        <v>1</v>
      </c>
      <c r="C7" s="5" t="str">
        <f>IF(AND(B7&gt;1,B5&gt;1),"Veitical Binning and Skipping cannot be set greater than 2 at the same time",IF(AND(B8="Sensor",B7&gt;2),"Only supports BinningVertical of 1 or 2 when BinningSelect is Sensor mode",""))</f>
        <v/>
      </c>
      <c r="H7" s="81">
        <v>2048</v>
      </c>
      <c r="I7" s="81">
        <v>1536</v>
      </c>
      <c r="L7" s="127"/>
      <c r="M7" s="127"/>
    </row>
    <row r="8" spans="1:13">
      <c r="A8" s="6" t="s">
        <v>309</v>
      </c>
      <c r="B8" s="7" t="s">
        <v>310</v>
      </c>
      <c r="C8" s="5" t="str">
        <f>IF(B8="Region0","","Only monochrome cameras support this feature！")</f>
        <v/>
      </c>
      <c r="G8" s="2" t="s">
        <v>311</v>
      </c>
      <c r="H8" s="2" t="s">
        <v>312</v>
      </c>
      <c r="L8" s="127"/>
      <c r="M8" s="127"/>
    </row>
    <row r="9" spans="1:13">
      <c r="A9" s="6" t="s">
        <v>196</v>
      </c>
      <c r="B9" s="7" t="s">
        <v>197</v>
      </c>
      <c r="G9" s="2"/>
      <c r="H9" s="2">
        <f>IF(AND(B8="Sensor",B7=2),1,B7)</f>
        <v>1</v>
      </c>
      <c r="L9" s="127"/>
      <c r="M9" s="127"/>
    </row>
    <row r="10" spans="1:13">
      <c r="A10" s="3" t="s">
        <v>168</v>
      </c>
      <c r="B10" s="7">
        <v>10000</v>
      </c>
      <c r="C10" s="121" t="str">
        <f>IF(AND(B9="UltraShort",B10&gt;100),"exposure time of ultrashort should not be more than 100us!",IF(AND(B9="Standard",B10&lt;20),"exposure time of standard should not be less than 20us!",""))</f>
        <v/>
      </c>
      <c r="G10" s="2" t="s">
        <v>198</v>
      </c>
      <c r="H10" s="2" t="s">
        <v>183</v>
      </c>
      <c r="I10" s="2" t="s">
        <v>184</v>
      </c>
      <c r="J10" s="2"/>
      <c r="K10" s="2"/>
      <c r="L10" s="127"/>
      <c r="M10" s="127"/>
    </row>
    <row r="11" spans="1:13" ht="14.25" customHeight="1">
      <c r="A11" s="3" t="s">
        <v>199</v>
      </c>
      <c r="B11" s="7">
        <v>0</v>
      </c>
      <c r="G11" s="2">
        <v>1</v>
      </c>
      <c r="H11" s="2">
        <v>2048</v>
      </c>
      <c r="I11" s="2">
        <v>1536</v>
      </c>
      <c r="J11" s="2" t="s">
        <v>303</v>
      </c>
      <c r="K11" s="2" t="s">
        <v>304</v>
      </c>
      <c r="L11" s="127"/>
      <c r="M11" s="127"/>
    </row>
    <row r="12" spans="1:13" ht="16.149999999999999" customHeight="1">
      <c r="A12" s="3" t="s">
        <v>169</v>
      </c>
      <c r="B12" s="7">
        <v>8</v>
      </c>
      <c r="G12" s="2">
        <v>2</v>
      </c>
      <c r="H12" s="2">
        <v>1024</v>
      </c>
      <c r="I12" s="2">
        <v>768</v>
      </c>
      <c r="J12" s="2" t="s">
        <v>313</v>
      </c>
      <c r="K12" s="2" t="s">
        <v>314</v>
      </c>
      <c r="L12" s="127"/>
      <c r="M12" s="127"/>
    </row>
    <row r="13" spans="1:13" ht="16.149999999999999" customHeight="1">
      <c r="A13" s="3" t="s">
        <v>170</v>
      </c>
      <c r="B13" s="7">
        <v>300000000</v>
      </c>
      <c r="G13" s="2"/>
      <c r="H13" s="2"/>
      <c r="I13" s="2"/>
      <c r="J13" s="20" t="s">
        <v>194</v>
      </c>
      <c r="K13" s="2"/>
    </row>
    <row r="14" spans="1:13" ht="16.149999999999999" hidden="1" customHeight="1">
      <c r="A14" s="3"/>
      <c r="B14" s="7"/>
      <c r="G14" s="2"/>
      <c r="H14" s="2">
        <v>2048</v>
      </c>
      <c r="I14" s="2">
        <v>1536</v>
      </c>
      <c r="J14" s="2"/>
      <c r="K14" s="2"/>
    </row>
    <row r="15" spans="1:13" hidden="1">
      <c r="A15" s="3" t="s">
        <v>171</v>
      </c>
      <c r="B15" s="122">
        <f>IF(B9="Standard",MAX(ROUNDUP((B10-13.73)/B18,0),1),IF(B10&gt;14,ROUNDUP((B10-13.73),0),1))</f>
        <v>1968</v>
      </c>
      <c r="G15" s="2"/>
      <c r="H15" s="2"/>
      <c r="I15" s="2"/>
      <c r="J15" s="2"/>
      <c r="K15" s="2"/>
    </row>
    <row r="16" spans="1:13" ht="16.149999999999999" hidden="1" customHeight="1">
      <c r="A16" s="3" t="s">
        <v>172</v>
      </c>
      <c r="B16" s="122" t="str">
        <f>IF((B12&lt;=8),"1","2")</f>
        <v>1</v>
      </c>
      <c r="G16" s="2"/>
      <c r="H16" s="2"/>
      <c r="I16" s="2"/>
      <c r="J16" s="21"/>
      <c r="K16" s="2"/>
    </row>
    <row r="17" spans="1:11" hidden="1">
      <c r="A17" s="3" t="s">
        <v>173</v>
      </c>
      <c r="B17" s="122">
        <f>B2*B3*B16+84</f>
        <v>3145812</v>
      </c>
      <c r="G17" s="2"/>
      <c r="H17" s="2"/>
      <c r="I17" s="2" t="s">
        <v>210</v>
      </c>
      <c r="J17" s="2">
        <f>IF(OR(B4=2,B5=2),123.75,190.3125)</f>
        <v>190.3125</v>
      </c>
      <c r="K17" s="2"/>
    </row>
    <row r="18" spans="1:11" hidden="1">
      <c r="A18" s="3" t="s">
        <v>174</v>
      </c>
      <c r="B18" s="122">
        <f>ROUNDUP(IF(B12=8,J17/37.5,2*J17/37.5)*1000,10)/1000</f>
        <v>5.0750000000000002</v>
      </c>
      <c r="G18" s="2"/>
      <c r="H18" s="2"/>
      <c r="I18" s="2" t="s">
        <v>211</v>
      </c>
      <c r="J18" s="2">
        <f>IF(B9="Standard",ROUNDUP((B15+14)*B18,0)+ROUNDUP(B11/B18,0)*B18,B15+ROUNDUP((B3*H9+38)*B18+10,0)+B11+ROUNDUP(J22,0))</f>
        <v>10059</v>
      </c>
      <c r="K18" s="2"/>
    </row>
    <row r="19" spans="1:11" hidden="1">
      <c r="A19" s="3" t="s">
        <v>175</v>
      </c>
      <c r="B19" s="122">
        <f>IF(B9="Standard",(B3*H9+38)*B18,ROUNDUP((B3*H9+38)*B18,0)+10)</f>
        <v>7988.05</v>
      </c>
      <c r="G19"/>
      <c r="H19"/>
      <c r="I19" t="s">
        <v>212</v>
      </c>
      <c r="J19">
        <f>IF(B9="Standard",ROUNDUP((B3*H9+38)*B18,0),ROUNDUP((B3*H9+38)*B18,0)+10)</f>
        <v>7989</v>
      </c>
      <c r="K19"/>
    </row>
    <row r="20" spans="1:11">
      <c r="A20" s="3" t="s">
        <v>176</v>
      </c>
      <c r="B20" s="122" t="s">
        <v>177</v>
      </c>
      <c r="G20"/>
      <c r="H20"/>
      <c r="I20" s="2" t="s">
        <v>213</v>
      </c>
      <c r="J20" s="81">
        <f>IF(B9="Standard",ROUNDUP(MAX(ROUNDUP(B17*1000000/397000000/B18,0),ROUNDUP(B17*1000000/B13/B18,0))*B18,0),MAX(ROUNDUP(B17*1000000/397000000,0),ROUNDUP(B17*1000000/B13,0)))</f>
        <v>10491</v>
      </c>
      <c r="K20"/>
    </row>
    <row r="21" spans="1:11">
      <c r="A21" s="3" t="s">
        <v>178</v>
      </c>
      <c r="B21" s="122">
        <v>125</v>
      </c>
      <c r="G21"/>
      <c r="H21"/>
      <c r="I21" s="2" t="s">
        <v>214</v>
      </c>
      <c r="J21">
        <f>ROUNDUP(IF(B9="Standard",B18*(IF(B20="off",0,1))*ROUNDUP(1000*1000/(B18*B21),0),(IF(B20="off",0,1))*ROUNDUP(1000*1000/B21,0)),0)</f>
        <v>0</v>
      </c>
      <c r="K21"/>
    </row>
    <row r="22" spans="1:11" hidden="1">
      <c r="A22" s="3" t="s">
        <v>179</v>
      </c>
      <c r="B22" s="124">
        <f>MAX(J18,J19,J20,J21)</f>
        <v>10491</v>
      </c>
      <c r="I22" s="2" t="s">
        <v>215</v>
      </c>
      <c r="J22">
        <f>IF(AND(B9="UltraShort",B10&lt;=13),14.4,13.73)</f>
        <v>13.73</v>
      </c>
    </row>
    <row r="23" spans="1:11">
      <c r="A23" s="155" t="s">
        <v>180</v>
      </c>
      <c r="B23" s="156"/>
    </row>
    <row r="24" spans="1:11" ht="22.5">
      <c r="A24" s="125" t="s">
        <v>181</v>
      </c>
      <c r="B24" s="126">
        <f>1000000/B22</f>
        <v>95.3197979220284</v>
      </c>
      <c r="C24" s="121" t="str">
        <f>IF(OR(B3&gt;1536/B7,B3&lt;2,B2&gt;2048/B6,B2&lt;2),J6,IF(B4=2,IF(OR(B2&gt;2048/B4,B2&lt;2048/B4),J13,""),""))</f>
        <v/>
      </c>
    </row>
  </sheetData>
  <sheetProtection algorithmName="SHA-512" hashValue="afjrrHMdeisOW1sag01tKy+E3H+NeOx8cNwuhKgzPt3DMc0ROY9n4fAe4PN2rjsxQ7lPD7o6Y9qN9e2HsCzr+A==" saltValue="sBimTF2w5ckmSEdRnw+uKA==" spinCount="100000" sheet="1" objects="1" scenarios="1" selectLockedCells="1"/>
  <mergeCells count="2">
    <mergeCell ref="A1:B1"/>
    <mergeCell ref="A23:B23"/>
  </mergeCells>
  <phoneticPr fontId="21" type="noConversion"/>
  <conditionalFormatting sqref="B2">
    <cfRule type="cellIs" dxfId="182" priority="7" operator="notBetween">
      <formula>16</formula>
      <formula>$H$7</formula>
    </cfRule>
  </conditionalFormatting>
  <conditionalFormatting sqref="B3">
    <cfRule type="cellIs" dxfId="181" priority="6" operator="notBetween">
      <formula>2</formula>
      <formula>$I$7</formula>
    </cfRule>
  </conditionalFormatting>
  <conditionalFormatting sqref="B6">
    <cfRule type="expression" dxfId="180" priority="1">
      <formula>AND(#REF!&gt;1,B6&gt;1)</formula>
    </cfRule>
  </conditionalFormatting>
  <conditionalFormatting sqref="B7:B8">
    <cfRule type="expression" dxfId="179" priority="2">
      <formula>AND(B7&gt;1,#REF!&gt;1)</formula>
    </cfRule>
  </conditionalFormatting>
  <dataValidations count="14">
    <dataValidation type="custom" allowBlank="1" showInputMessage="1" showErrorMessage="1" errorTitle="Input parameter error" error="8bit mode range from 35000000 to 400000000,step 1000000;_x000a_10bit mode range from 70000000 to 400000000,step 1000000" sqref="B13" xr:uid="{00000000-0002-0000-1000-000000000000}">
      <formula1>OR(AND(B12=8,B13&gt;=35000000,B13&lt;=400000000,MOD(B13,1000000)=0),AND(B12=10,B13&gt;=70000000,B13&lt;=400000000,MOD(B13,1000000)=0))</formula1>
    </dataValidation>
    <dataValidation type="custom" allowBlank="1" showInputMessage="1" showErrorMessage="1" errorTitle="Input parameter error" error="Input parameter error,Input range from 2 to 1536,and is an integer multiple of 2" sqref="B3" xr:uid="{00000000-0002-0000-1000-000001000000}">
      <formula1>AND(MOD(B3,2)=0,B3&gt;=2,B3&lt;=1536/B5,B3&lt;=1536/B7)</formula1>
    </dataValidation>
    <dataValidation type="custom" allowBlank="1" showInputMessage="1" showErrorMessage="1" errorTitle="Input parameter error" error="Input parameter error,Input range from 16 to 2048,and is an integer multiple of 8" sqref="B2" xr:uid="{00000000-0002-0000-1000-000002000000}">
      <formula1>AND(MOD(B2,8)=0,B2&gt;=16,B2&lt;=2048/B4,B2&lt;=2048/B6)</formula1>
    </dataValidation>
    <dataValidation type="list" allowBlank="1" showInputMessage="1" showErrorMessage="1" errorTitle="参数输入错误" error="Input Region0 or Sensor!" sqref="B8" xr:uid="{00000000-0002-0000-1000-000003000000}">
      <formula1>"Region0,Sensor"</formula1>
    </dataValidation>
    <dataValidation type="list" allowBlank="1" showInputMessage="1" showErrorMessage="1" errorTitle="参数输入错误" error="Binning选择Region0模式可输入的值为1,2,4；Binning选择Sensor模式可输入的值为1" sqref="B6" xr:uid="{00000000-0002-0000-1000-000004000000}">
      <formula1>IF($B$8="Region0",$G$3:$G$5,$G$3)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1000-000005000000}">
      <formula1>OR(AND(B9="UltraShort",B10&gt;=1,B10&lt;=100),AND(B9="Standard",B10&gt;=20,B10&lt;=1000000))</formula1>
    </dataValidation>
    <dataValidation type="list" allowBlank="1" showInputMessage="1" showErrorMessage="1" errorTitle="参数输入错误" error="Binning选择Region0模式可输入的值为1,2,4；Binning选择Sensor模式可输入的值为1,2" sqref="B7" xr:uid="{00000000-0002-0000-1000-000006000000}">
      <formula1>IF($B$8="Region0",$G$3:$G$5,$G$3:$G$4)</formula1>
    </dataValidation>
    <dataValidation type="list" allowBlank="1" showInputMessage="1" showErrorMessage="1" errorTitle="Input parameter error" error="Input Standard or UltraShort" sqref="B9" xr:uid="{00000000-0002-0000-1000-000007000000}">
      <formula1>"Standard,UltraShort"</formula1>
    </dataValidation>
    <dataValidation type="whole" allowBlank="1" showInputMessage="1" showErrorMessage="1" error="输入范围0-5000us" sqref="B11" xr:uid="{00000000-0002-0000-1000-000008000000}">
      <formula1>0</formula1>
      <formula2>5000</formula2>
    </dataValidation>
    <dataValidation type="list" allowBlank="1" showInputMessage="1" showErrorMessage="1" errorTitle="Input parameter error" error="Input 8 or 10" sqref="B12" xr:uid="{00000000-0002-0000-1000-000009000000}">
      <formula1>"8,10"</formula1>
    </dataValidation>
    <dataValidation allowBlank="1" showInputMessage="1" showErrorMessage="1" errorTitle="参数输入错误" error="8bit模式下范围35000000-400000000，步长1000000;_x000a_10bit模式下范围70000000-400000000，步长1000000" sqref="B14" xr:uid="{00000000-0002-0000-1000-00000A000000}"/>
    <dataValidation type="list" allowBlank="1" showInputMessage="1" showErrorMessage="1" errorTitle="Input parameter error" error="Input on or off" sqref="B20" xr:uid="{00000000-0002-0000-1000-00000B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1000-00000C000000}">
      <formula1>AND(MOD(10*B21,1)=0,B21&gt;=0.1,B21&lt;=10000)</formula1>
    </dataValidation>
    <dataValidation type="list" allowBlank="1" showInputMessage="1" showErrorMessage="1" errorTitle="Input parameter error" error="Input range is 1,2" sqref="B4:B5" xr:uid="{00000000-0002-0000-1000-00000D000000}">
      <formula1>"1,2"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26"/>
  <sheetViews>
    <sheetView workbookViewId="0">
      <selection activeCell="B2" sqref="B2"/>
    </sheetView>
  </sheetViews>
  <sheetFormatPr defaultColWidth="9" defaultRowHeight="15"/>
  <cols>
    <col min="1" max="1" width="40.5703125" style="81" customWidth="1"/>
    <col min="2" max="2" width="16.5703125" style="81" customWidth="1"/>
    <col min="3" max="3" width="82.5703125" style="121" customWidth="1"/>
    <col min="4" max="5" width="9" style="81"/>
    <col min="6" max="6" width="12.7109375" style="81" customWidth="1"/>
    <col min="7" max="7" width="12.7109375" style="81" hidden="1" customWidth="1"/>
    <col min="8" max="8" width="8.85546875" style="81" hidden="1" customWidth="1"/>
    <col min="9" max="9" width="13.85546875" style="81" hidden="1" customWidth="1"/>
    <col min="10" max="10" width="57.7109375" style="81" hidden="1" customWidth="1"/>
    <col min="11" max="11" width="44.5703125" style="81" hidden="1" customWidth="1"/>
    <col min="12" max="12" width="24.140625" style="81" hidden="1" customWidth="1"/>
    <col min="13" max="13" width="24.7109375" style="81" customWidth="1"/>
    <col min="14" max="16384" width="9" style="81"/>
  </cols>
  <sheetData>
    <row r="1" spans="1:13">
      <c r="A1" s="153" t="s">
        <v>165</v>
      </c>
      <c r="B1" s="154"/>
    </row>
    <row r="2" spans="1:13">
      <c r="A2" s="3" t="s">
        <v>166</v>
      </c>
      <c r="B2" s="122">
        <v>2048</v>
      </c>
      <c r="C2" s="121" t="str">
        <f>IF(AND(B4&gt;1,OR(B6&gt;1,B7&gt;1)),"Please confirm the belowing settings first",IF(OR(B2&gt;2048/B6,B2&lt;16),LOOKUP(B6,G3:G5,J3:J5),IF(B4=2,IF(OR(B2&gt;2048/B4,B2&lt;2048/B4),J11,""),"")))</f>
        <v/>
      </c>
      <c r="G2" s="81" t="s">
        <v>182</v>
      </c>
      <c r="H2" s="81" t="s">
        <v>183</v>
      </c>
      <c r="I2" s="81" t="s">
        <v>184</v>
      </c>
    </row>
    <row r="3" spans="1:13">
      <c r="A3" s="3" t="s">
        <v>167</v>
      </c>
      <c r="B3" s="122">
        <v>1536</v>
      </c>
      <c r="C3" s="121" t="str">
        <f>IF(AND(B4&gt;1,OR(B6&gt;1,B7&gt;1)),"Please confirm the belowing settings first",IF(OR(B3&gt;1536/B7,B3&lt;2),LOOKUP(B7,G3:G5,K3:K5),IF(B4=2,IF(OR(B3&gt;1536/B4,B3&lt;1536/B4),K11,""),"")))</f>
        <v/>
      </c>
      <c r="G3" s="81">
        <v>1</v>
      </c>
      <c r="H3" s="81">
        <f>8*INT(H7/(8*G3))</f>
        <v>2048</v>
      </c>
      <c r="I3" s="81">
        <f>2*INT(I7/(2*G3))</f>
        <v>1536</v>
      </c>
      <c r="J3" s="79" t="s">
        <v>303</v>
      </c>
      <c r="K3" s="79" t="s">
        <v>304</v>
      </c>
    </row>
    <row r="4" spans="1:13">
      <c r="A4" s="6" t="s">
        <v>238</v>
      </c>
      <c r="B4" s="7">
        <v>1</v>
      </c>
      <c r="G4" s="81">
        <v>2</v>
      </c>
      <c r="H4" s="81">
        <f>8*INT(H7/(8*G4))</f>
        <v>1024</v>
      </c>
      <c r="I4" s="81">
        <f>2*INT(I7/(2*G4))</f>
        <v>768</v>
      </c>
      <c r="J4" s="79" t="s">
        <v>305</v>
      </c>
      <c r="K4" s="79" t="s">
        <v>306</v>
      </c>
      <c r="L4" s="79"/>
      <c r="M4" s="127"/>
    </row>
    <row r="5" spans="1:13">
      <c r="A5" s="6" t="s">
        <v>240</v>
      </c>
      <c r="B5" s="95">
        <f>B4</f>
        <v>1</v>
      </c>
      <c r="G5" s="81">
        <v>4</v>
      </c>
      <c r="H5" s="81">
        <f>8*INT(H7/(8*G5))</f>
        <v>512</v>
      </c>
      <c r="I5" s="81">
        <f>2*INT(I7/(2*G5))</f>
        <v>384</v>
      </c>
      <c r="J5" s="79" t="s">
        <v>307</v>
      </c>
      <c r="K5" s="79" t="s">
        <v>308</v>
      </c>
      <c r="L5" s="127"/>
      <c r="M5" s="127"/>
    </row>
    <row r="6" spans="1:13">
      <c r="A6" s="123" t="s">
        <v>187</v>
      </c>
      <c r="B6" s="7">
        <v>1</v>
      </c>
      <c r="C6" s="121" t="str">
        <f>IF(AND(B6&gt;1,B4&gt;1),"The binning and skipping levels are not set to be greater than 2 at the same time","")</f>
        <v/>
      </c>
      <c r="J6" s="79" t="s">
        <v>194</v>
      </c>
      <c r="L6" s="127"/>
      <c r="M6" s="127"/>
    </row>
    <row r="7" spans="1:13">
      <c r="A7" s="123" t="s">
        <v>190</v>
      </c>
      <c r="B7" s="7">
        <v>1</v>
      </c>
      <c r="C7" s="121" t="str">
        <f>IF(AND(B7&gt;1,B5&gt;1),"The binning and skipping levels are not set to be greater than 2 at the same time","")</f>
        <v/>
      </c>
      <c r="H7" s="81">
        <v>2048</v>
      </c>
      <c r="I7" s="81">
        <v>1536</v>
      </c>
      <c r="L7" s="127"/>
      <c r="M7" s="127"/>
    </row>
    <row r="8" spans="1:13">
      <c r="A8" s="6" t="s">
        <v>196</v>
      </c>
      <c r="B8" s="7" t="s">
        <v>197</v>
      </c>
      <c r="L8" s="127"/>
      <c r="M8" s="127"/>
    </row>
    <row r="9" spans="1:13">
      <c r="A9" s="3" t="s">
        <v>168</v>
      </c>
      <c r="B9" s="7">
        <v>10000</v>
      </c>
      <c r="C9" s="121" t="str">
        <f>IF(AND(B8="UltraShort",B9&gt;100),"exposure time of ultrashort should not be more than 100us!",IF(AND(B8="Standard",B9&lt;20),"exposure time of standard should not be less than 20us!",""))</f>
        <v/>
      </c>
      <c r="G9" s="2" t="s">
        <v>198</v>
      </c>
      <c r="H9" s="2" t="s">
        <v>183</v>
      </c>
      <c r="I9" s="2" t="s">
        <v>184</v>
      </c>
      <c r="J9" s="2"/>
      <c r="K9" s="2"/>
      <c r="L9" s="127"/>
      <c r="M9" s="127"/>
    </row>
    <row r="10" spans="1:13">
      <c r="A10" s="3" t="s">
        <v>199</v>
      </c>
      <c r="B10" s="7">
        <v>0</v>
      </c>
      <c r="G10" s="2">
        <v>1</v>
      </c>
      <c r="H10" s="2">
        <v>2048</v>
      </c>
      <c r="I10" s="2">
        <v>1536</v>
      </c>
      <c r="J10" s="2" t="s">
        <v>303</v>
      </c>
      <c r="K10" s="2" t="s">
        <v>304</v>
      </c>
      <c r="L10" s="127"/>
      <c r="M10" s="127"/>
    </row>
    <row r="11" spans="1:13">
      <c r="A11" s="3" t="s">
        <v>200</v>
      </c>
      <c r="B11" s="7">
        <v>8</v>
      </c>
      <c r="G11" s="2">
        <v>2</v>
      </c>
      <c r="H11" s="2">
        <v>1024</v>
      </c>
      <c r="I11" s="2">
        <v>768</v>
      </c>
      <c r="J11" s="2" t="s">
        <v>313</v>
      </c>
      <c r="K11" s="2" t="s">
        <v>314</v>
      </c>
      <c r="L11" s="127"/>
      <c r="M11" s="127"/>
    </row>
    <row r="12" spans="1:13">
      <c r="A12" s="3" t="s">
        <v>201</v>
      </c>
      <c r="B12" s="7" t="s">
        <v>205</v>
      </c>
      <c r="C12" s="5" t="str">
        <f>IF(AND(B11=G17,B12="Bpp12"),J17,IF(AND(B11=G18,B12&lt;&gt;"Bpp10"),J18,IF(AND(B11=G19,B12&lt;&gt;"Bpp12"),J19,"")))</f>
        <v/>
      </c>
      <c r="G12" s="2"/>
      <c r="H12" s="2"/>
      <c r="I12" s="2"/>
      <c r="J12" s="2"/>
      <c r="K12" s="2"/>
      <c r="L12" s="127"/>
      <c r="M12" s="127"/>
    </row>
    <row r="13" spans="1:13">
      <c r="A13" s="3" t="s">
        <v>170</v>
      </c>
      <c r="B13" s="7">
        <v>300000000</v>
      </c>
      <c r="G13" s="2"/>
      <c r="H13" s="2"/>
      <c r="I13" s="2"/>
      <c r="J13" s="20" t="s">
        <v>194</v>
      </c>
      <c r="K13" s="2"/>
    </row>
    <row r="14" spans="1:13" hidden="1">
      <c r="A14" s="3"/>
      <c r="B14" s="7"/>
      <c r="G14" s="2"/>
      <c r="H14" s="2">
        <v>2048</v>
      </c>
      <c r="I14" s="2">
        <v>1536</v>
      </c>
      <c r="J14" s="2"/>
      <c r="K14" s="2"/>
    </row>
    <row r="15" spans="1:13" hidden="1">
      <c r="A15" s="3" t="s">
        <v>171</v>
      </c>
      <c r="B15" s="122">
        <f>IF(B8="Standard",MAX(ROUNDUP((B9-13.73)/B18,0),1),IF(B9&gt;14,ROUNDUP((B9-13.73),0),1))</f>
        <v>1968</v>
      </c>
      <c r="G15" s="2"/>
      <c r="H15" s="2"/>
      <c r="I15" s="2"/>
      <c r="J15" s="2"/>
      <c r="K15" s="2"/>
    </row>
    <row r="16" spans="1:13" hidden="1">
      <c r="A16" s="3" t="s">
        <v>172</v>
      </c>
      <c r="B16" s="122" t="str">
        <f>IF((B11&lt;=8),"1","2")</f>
        <v>1</v>
      </c>
      <c r="G16" s="2" t="s">
        <v>203</v>
      </c>
      <c r="H16" s="2" t="s">
        <v>204</v>
      </c>
      <c r="I16" s="2"/>
      <c r="J16" s="2"/>
      <c r="K16" s="2"/>
    </row>
    <row r="17" spans="1:11" hidden="1">
      <c r="A17" s="3" t="s">
        <v>173</v>
      </c>
      <c r="B17" s="122">
        <f>B2*B3*B16+84</f>
        <v>3145812</v>
      </c>
      <c r="G17" s="2">
        <v>8</v>
      </c>
      <c r="H17" s="2" t="s">
        <v>202</v>
      </c>
      <c r="I17" s="2" t="s">
        <v>205</v>
      </c>
      <c r="J17" s="2" t="s">
        <v>206</v>
      </c>
      <c r="K17" s="2"/>
    </row>
    <row r="18" spans="1:11" hidden="1">
      <c r="A18" s="3" t="s">
        <v>174</v>
      </c>
      <c r="B18" s="122">
        <f>ROUNDUP(IF(B11=8,J21/37.5,2*J21/37.5)*1000,10)/1000</f>
        <v>5.0750000000000002</v>
      </c>
      <c r="G18" s="2">
        <v>10</v>
      </c>
      <c r="H18" s="2" t="s">
        <v>205</v>
      </c>
      <c r="I18" s="2"/>
      <c r="J18" s="2" t="s">
        <v>207</v>
      </c>
      <c r="K18" s="2"/>
    </row>
    <row r="19" spans="1:11" hidden="1">
      <c r="A19" s="3" t="s">
        <v>175</v>
      </c>
      <c r="B19" s="122">
        <f>IF(B8="Standard",(B3*B7+38)*B18,ROUNDUP((B3*B7+38)*B18,0)+10)</f>
        <v>7988.05</v>
      </c>
      <c r="G19" s="2">
        <v>12</v>
      </c>
      <c r="H19" s="2" t="s">
        <v>208</v>
      </c>
      <c r="I19" s="2"/>
      <c r="J19" s="2" t="s">
        <v>209</v>
      </c>
      <c r="K19"/>
    </row>
    <row r="20" spans="1:11">
      <c r="A20" s="3" t="s">
        <v>176</v>
      </c>
      <c r="B20" s="122" t="s">
        <v>177</v>
      </c>
      <c r="G20" s="2"/>
      <c r="H20" s="2"/>
      <c r="I20" s="2"/>
      <c r="J20" s="21"/>
      <c r="K20"/>
    </row>
    <row r="21" spans="1:11">
      <c r="A21" s="3" t="s">
        <v>178</v>
      </c>
      <c r="B21" s="122">
        <v>125</v>
      </c>
      <c r="G21" s="2"/>
      <c r="H21" s="2"/>
      <c r="I21" s="2" t="s">
        <v>210</v>
      </c>
      <c r="J21" s="2">
        <f>IF((B12="Bpp8"),IF(OR(B4=2,B5=2),112.5,157.5),IF(OR(B4=2,B5=2),123.75,190.3125))</f>
        <v>190.3125</v>
      </c>
      <c r="K21"/>
    </row>
    <row r="22" spans="1:11" hidden="1">
      <c r="A22" s="3" t="s">
        <v>179</v>
      </c>
      <c r="B22" s="124">
        <f>MAX(J22,J23,J24,J25)</f>
        <v>10491</v>
      </c>
      <c r="G22" s="2"/>
      <c r="H22" s="2"/>
      <c r="I22" s="2" t="s">
        <v>211</v>
      </c>
      <c r="J22" s="2">
        <f>IF(B8="Standard",ROUNDUP((B15+14)*B18,0)+ROUNDUP(B10/B18,0)*B18,B15+ROUNDUP((B3*B7+38)*B18+10,0)+B10+ROUNDUP(J26,0))</f>
        <v>10059</v>
      </c>
    </row>
    <row r="23" spans="1:11">
      <c r="A23" s="155" t="s">
        <v>180</v>
      </c>
      <c r="B23" s="156"/>
      <c r="C23" s="121" t="str">
        <f>IF(OR(B3&gt;1536/B7,B3&lt;2,B2&gt;2048/B6,B2&lt;2),J6,IF(B4=2,IF(OR(B2&gt;2048/B4,B2&lt;2048/B4),J13,""),""))</f>
        <v/>
      </c>
      <c r="G23"/>
      <c r="H23"/>
      <c r="I23" t="s">
        <v>212</v>
      </c>
      <c r="J23">
        <f>IF(B8="Standard",ROUNDUP((B3*B7+38)*B18,0),ROUNDUP((B3*B7+38)*B18,0)+10)</f>
        <v>7989</v>
      </c>
    </row>
    <row r="24" spans="1:11" ht="22.5">
      <c r="A24" s="125" t="s">
        <v>181</v>
      </c>
      <c r="B24" s="126">
        <f>1000000/B22</f>
        <v>95.3197979220284</v>
      </c>
      <c r="G24"/>
      <c r="H24"/>
      <c r="I24" s="2" t="s">
        <v>213</v>
      </c>
      <c r="J24" s="81">
        <f>IF(B8="Standard",ROUNDUP(MAX(ROUNDUP(B17*1000000/395000000/B18,0),ROUNDUP(B17*1000000/B13/B18,0))*B18,0),MAX(ROUNDUP(B17*1000000/395000000,0),ROUNDUP(B17*1000000/B13,0)))</f>
        <v>10491</v>
      </c>
    </row>
    <row r="25" spans="1:11">
      <c r="G25"/>
      <c r="H25"/>
      <c r="I25" s="2" t="s">
        <v>214</v>
      </c>
      <c r="J25">
        <f>ROUNDUP(IF(B8="Standard",B18*(IF(B20="off",0,1))*ROUNDUP(1000*1000/(B18*B21),0),(IF(B20="off",0,1))*ROUNDUP(1000*1000/B21,0)),0)</f>
        <v>0</v>
      </c>
    </row>
    <row r="26" spans="1:11">
      <c r="I26" s="2" t="s">
        <v>215</v>
      </c>
      <c r="J26">
        <f>IF(AND(B8="UltraShort",B9&lt;=13),14.4,13.73)</f>
        <v>13.73</v>
      </c>
    </row>
  </sheetData>
  <sheetProtection algorithmName="SHA-512" hashValue="e+yYmz6Pm34sYI4n7McFZVbWMAG0bD91y55g0hW+BmnUNwGB+ayHPZ2ZTSERDeVVkL/CQw9pWIKAoGW7OmDhGw==" saltValue="2H/uuuQSHvWYPRetdjPNfA==" spinCount="100000" sheet="1" objects="1" scenarios="1" selectLockedCells="1"/>
  <mergeCells count="2">
    <mergeCell ref="A1:B1"/>
    <mergeCell ref="A23:B23"/>
  </mergeCells>
  <phoneticPr fontId="21" type="noConversion"/>
  <conditionalFormatting sqref="B2">
    <cfRule type="cellIs" dxfId="178" priority="4" operator="notBetween">
      <formula>16</formula>
      <formula>$H$7</formula>
    </cfRule>
  </conditionalFormatting>
  <conditionalFormatting sqref="B3">
    <cfRule type="cellIs" dxfId="177" priority="3" operator="notBetween">
      <formula>2</formula>
      <formula>$I$7</formula>
    </cfRule>
  </conditionalFormatting>
  <conditionalFormatting sqref="B6">
    <cfRule type="expression" dxfId="176" priority="1">
      <formula>AND(#REF!&gt;1,B6&gt;1)</formula>
    </cfRule>
  </conditionalFormatting>
  <conditionalFormatting sqref="B7">
    <cfRule type="expression" dxfId="175" priority="2">
      <formula>AND(B7&gt;1,#REF!&gt;1)</formula>
    </cfRule>
  </conditionalFormatting>
  <dataValidations count="13">
    <dataValidation type="custom" allowBlank="1" showInputMessage="1" showErrorMessage="1" errorTitle="Input parameter error" error="Input parameter error,Input range from 2 to 1536,and is an integer multiple of 2" sqref="B3" xr:uid="{00000000-0002-0000-1100-000000000000}">
      <formula1>AND(MOD(B3,2)=0,B3&gt;=2,B3&lt;=1536/B5,B3&lt;=1536/B7)</formula1>
    </dataValidation>
    <dataValidation type="custom" allowBlank="1" showInputMessage="1" showErrorMessage="1" errorTitle="Input parameter error" error="Input parameter error,Input range from 16 to 2048,and is an integer multiple of 8" sqref="B2" xr:uid="{00000000-0002-0000-1100-000001000000}">
      <formula1>AND(MOD(B2,8)=0,B2&gt;=16,B2&lt;=2048/B4,B2&lt;=2048/B6)</formula1>
    </dataValidation>
    <dataValidation type="list" allowBlank="1" showInputMessage="1" showErrorMessage="1" errorTitle="Input parameter error" error="Input Standard or UltraShort" sqref="B8" xr:uid="{00000000-0002-0000-1100-000002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3" xr:uid="{00000000-0002-0000-1100-000003000000}">
      <formula1>OR(AND(B11=8,B13&gt;=35000000,B13&lt;=400000000,MOD(B13,1000000)=0),AND(OR(B11=10,B11=12),B13&gt;=70000000,B13&lt;=400000000,MOD(B13,1000000)=0))</formula1>
    </dataValidation>
    <dataValidation type="list" allowBlank="1" showInputMessage="1" showErrorMessage="1" errorTitle="参数输入错误" error="请输入Bpp8或者Bpp10或者Bpp12" sqref="B12" xr:uid="{00000000-0002-0000-1100-000004000000}">
      <formula1>"Bpp8,Bpp10,Bpp12"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 xr:uid="{00000000-0002-0000-1100-000005000000}">
      <formula1>OR(AND(B8="UltraShort",B9&gt;=1,B9&lt;=100),AND(B8="Standard",B9&gt;=20,B9&lt;=1000000))</formula1>
    </dataValidation>
    <dataValidation type="whole" allowBlank="1" showInputMessage="1" showErrorMessage="1" error="输入范围0-5000us" sqref="B10" xr:uid="{00000000-0002-0000-1100-000006000000}">
      <formula1>0</formula1>
      <formula2>5000</formula2>
    </dataValidation>
    <dataValidation type="list" allowBlank="1" showInputMessage="1" showErrorMessage="1" errorTitle="Input parameter error" error="Input 8 or 10" sqref="B11" xr:uid="{00000000-0002-0000-1100-000007000000}">
      <formula1>"8,10,12"</formula1>
    </dataValidation>
    <dataValidation allowBlank="1" showInputMessage="1" showErrorMessage="1" errorTitle="参数输入错误" error="8bit模式下范围35000000-400000000，步长1000000;_x000a_10bit模式下范围70000000-400000000，步长1000000" sqref="B14" xr:uid="{00000000-0002-0000-1100-000008000000}"/>
    <dataValidation type="list" allowBlank="1" showInputMessage="1" showErrorMessage="1" errorTitle="Input parameter error" error="Input on or off" sqref="B20" xr:uid="{00000000-0002-0000-1100-000009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1100-00000A000000}">
      <formula1>AND(MOD(10*B21,1)=0,B21&gt;=0.1,B21&lt;=10000)</formula1>
    </dataValidation>
    <dataValidation type="list" allowBlank="1" showInputMessage="1" showErrorMessage="1" errorTitle="Input parameter error" error="Input range is 1,2" sqref="B4:B5" xr:uid="{00000000-0002-0000-1100-00000B000000}">
      <formula1>"1,2"</formula1>
    </dataValidation>
    <dataValidation type="list" allowBlank="1" showInputMessage="1" showErrorMessage="1" errorTitle="Input parameter error" error="Input range is 1,2,4" sqref="B6:B7" xr:uid="{00000000-0002-0000-1100-00000C000000}">
      <formula1>"1,2,4"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23"/>
  <sheetViews>
    <sheetView workbookViewId="0">
      <selection activeCell="B11" sqref="B11"/>
    </sheetView>
  </sheetViews>
  <sheetFormatPr defaultColWidth="9" defaultRowHeight="15"/>
  <cols>
    <col min="1" max="1" width="40.5703125" style="81" customWidth="1"/>
    <col min="2" max="2" width="16.5703125" style="81" customWidth="1"/>
    <col min="3" max="3" width="82.5703125" style="121" customWidth="1"/>
    <col min="4" max="5" width="9" style="81"/>
    <col min="6" max="6" width="12.7109375" style="81" hidden="1" customWidth="1"/>
    <col min="7" max="7" width="8.85546875" style="81" hidden="1" customWidth="1"/>
    <col min="8" max="8" width="13.85546875" style="81" hidden="1" customWidth="1"/>
    <col min="9" max="9" width="57.7109375" style="81" hidden="1" customWidth="1"/>
    <col min="10" max="10" width="44.5703125" style="81" hidden="1" customWidth="1"/>
    <col min="11" max="11" width="24.140625" style="81" hidden="1" customWidth="1"/>
    <col min="12" max="12" width="24.7109375" style="81" customWidth="1"/>
    <col min="13" max="16384" width="9" style="81"/>
  </cols>
  <sheetData>
    <row r="1" spans="1:12">
      <c r="A1" s="153" t="s">
        <v>165</v>
      </c>
      <c r="B1" s="154"/>
    </row>
    <row r="2" spans="1:12">
      <c r="A2" s="3" t="s">
        <v>166</v>
      </c>
      <c r="B2" s="122">
        <v>2048</v>
      </c>
      <c r="C2" s="121" t="str">
        <f>IF(AND(B4&gt;1,OR(B6&gt;1,B7&gt;1)),"Please confirm the belowing settings first",IF(OR(B2&gt;2048/B6,B2&lt;16),LOOKUP(B6,F3:F5,I3:I5),IF(B4=2,IF(OR(B2&gt;2048/B4,B2&lt;2048/B4),I11,""),"")))</f>
        <v/>
      </c>
      <c r="F2" s="81" t="s">
        <v>182</v>
      </c>
      <c r="G2" s="81" t="s">
        <v>183</v>
      </c>
      <c r="H2" s="81" t="s">
        <v>184</v>
      </c>
    </row>
    <row r="3" spans="1:12">
      <c r="A3" s="3" t="s">
        <v>167</v>
      </c>
      <c r="B3" s="122">
        <v>1536</v>
      </c>
      <c r="C3" s="121" t="str">
        <f>IF(AND(B4&gt;1,OR(B6&gt;1,B7&gt;1)),"Please confirm the belowing settings first",IF(OR(B3&gt;1536/B7,B3&lt;2),LOOKUP(B7,F3:F5,J3:J5),IF(B4=2,IF(OR(B3&gt;1536/B4,B3&lt;1536/B4),J11,""),"")))</f>
        <v/>
      </c>
      <c r="F3" s="81">
        <v>1</v>
      </c>
      <c r="G3" s="81">
        <f>8*INT(G7/(8*F3))</f>
        <v>2048</v>
      </c>
      <c r="H3" s="81">
        <f>2*INT(H7/(2*F3))</f>
        <v>1536</v>
      </c>
      <c r="I3" s="79" t="s">
        <v>303</v>
      </c>
      <c r="J3" s="79" t="s">
        <v>304</v>
      </c>
    </row>
    <row r="4" spans="1:12">
      <c r="A4" s="6" t="s">
        <v>238</v>
      </c>
      <c r="B4" s="7">
        <v>1</v>
      </c>
      <c r="F4" s="81">
        <v>2</v>
      </c>
      <c r="G4" s="81">
        <f>8*INT(G7/(8*F4))</f>
        <v>1024</v>
      </c>
      <c r="H4" s="81">
        <f>2*INT(H7/(2*F4))</f>
        <v>768</v>
      </c>
      <c r="I4" s="79" t="s">
        <v>305</v>
      </c>
      <c r="J4" s="79" t="s">
        <v>306</v>
      </c>
      <c r="K4" s="79"/>
      <c r="L4" s="127"/>
    </row>
    <row r="5" spans="1:12">
      <c r="A5" s="6" t="s">
        <v>240</v>
      </c>
      <c r="B5" s="95">
        <f>B4</f>
        <v>1</v>
      </c>
      <c r="F5" s="81">
        <v>4</v>
      </c>
      <c r="G5" s="81">
        <f>8*INT(G7/(8*F5))</f>
        <v>512</v>
      </c>
      <c r="H5" s="81">
        <f>2*INT(H7/(2*F5))</f>
        <v>384</v>
      </c>
      <c r="I5" s="79" t="s">
        <v>307</v>
      </c>
      <c r="J5" s="79" t="s">
        <v>308</v>
      </c>
      <c r="K5" s="127"/>
      <c r="L5" s="127"/>
    </row>
    <row r="6" spans="1:12">
      <c r="A6" s="123" t="s">
        <v>187</v>
      </c>
      <c r="B6" s="7">
        <v>1</v>
      </c>
      <c r="C6" s="121" t="str">
        <f>IF(AND(B6&gt;1,B4&gt;1),"The binning and skipping levels are not set to be greater than 2 at the same time","")</f>
        <v/>
      </c>
      <c r="I6" s="81" t="s">
        <v>194</v>
      </c>
      <c r="K6" s="127"/>
      <c r="L6" s="127"/>
    </row>
    <row r="7" spans="1:12">
      <c r="A7" s="123" t="s">
        <v>190</v>
      </c>
      <c r="B7" s="7">
        <v>1</v>
      </c>
      <c r="C7" s="121" t="str">
        <f>IF(AND(B7&gt;1,B5&gt;1),"The binning and skipping levels are not set to be greater than 2 at the same time","")</f>
        <v/>
      </c>
      <c r="G7" s="81">
        <v>2048</v>
      </c>
      <c r="H7" s="81">
        <v>1536</v>
      </c>
      <c r="K7" s="127"/>
      <c r="L7" s="127"/>
    </row>
    <row r="8" spans="1:12">
      <c r="A8" s="6" t="s">
        <v>196</v>
      </c>
      <c r="B8" s="7" t="s">
        <v>197</v>
      </c>
      <c r="K8" s="127"/>
      <c r="L8" s="127"/>
    </row>
    <row r="9" spans="1:12">
      <c r="A9" s="3" t="s">
        <v>168</v>
      </c>
      <c r="B9" s="7">
        <v>10000</v>
      </c>
      <c r="C9" s="121" t="str">
        <f>IF(AND(B8="UltraShort",B9&gt;100),"exposure time of ultrashort should not be more than 100us!",IF(AND(B8="Standard",B9&lt;20),"exposure time of standard should not be less than 20us!",""))</f>
        <v/>
      </c>
      <c r="F9" s="2" t="s">
        <v>198</v>
      </c>
      <c r="G9" s="2" t="s">
        <v>183</v>
      </c>
      <c r="H9" s="2" t="s">
        <v>184</v>
      </c>
      <c r="I9" s="2"/>
      <c r="J9" s="2"/>
      <c r="K9" s="127"/>
      <c r="L9" s="127"/>
    </row>
    <row r="10" spans="1:12" ht="14.25" customHeight="1">
      <c r="A10" s="3" t="s">
        <v>199</v>
      </c>
      <c r="B10" s="7">
        <v>0</v>
      </c>
      <c r="F10" s="2">
        <v>1</v>
      </c>
      <c r="G10" s="2">
        <v>2048</v>
      </c>
      <c r="H10" s="2">
        <v>1536</v>
      </c>
      <c r="I10" s="2" t="s">
        <v>303</v>
      </c>
      <c r="J10" s="2" t="s">
        <v>304</v>
      </c>
      <c r="K10" s="127"/>
      <c r="L10" s="127"/>
    </row>
    <row r="11" spans="1:12" ht="16.149999999999999" customHeight="1">
      <c r="A11" s="3" t="s">
        <v>315</v>
      </c>
      <c r="B11" s="7">
        <v>8</v>
      </c>
      <c r="F11" s="2">
        <v>2</v>
      </c>
      <c r="G11" s="2">
        <v>1024</v>
      </c>
      <c r="H11" s="2">
        <v>768</v>
      </c>
      <c r="I11" s="2" t="s">
        <v>313</v>
      </c>
      <c r="J11" s="2" t="s">
        <v>314</v>
      </c>
      <c r="K11" s="127"/>
      <c r="L11" s="127"/>
    </row>
    <row r="12" spans="1:12" ht="16.149999999999999" customHeight="1">
      <c r="A12" s="3" t="s">
        <v>170</v>
      </c>
      <c r="B12" s="7">
        <v>300000000</v>
      </c>
      <c r="F12" s="2"/>
      <c r="G12" s="2"/>
      <c r="H12" s="2"/>
      <c r="I12" s="20" t="s">
        <v>194</v>
      </c>
      <c r="J12" s="2"/>
    </row>
    <row r="13" spans="1:12" ht="16.149999999999999" hidden="1" customHeight="1">
      <c r="A13" s="3"/>
      <c r="B13" s="7"/>
      <c r="F13" s="2"/>
      <c r="G13" s="2">
        <v>2048</v>
      </c>
      <c r="H13" s="2">
        <v>1536</v>
      </c>
      <c r="I13" s="2"/>
      <c r="J13" s="2"/>
    </row>
    <row r="14" spans="1:12" hidden="1">
      <c r="A14" s="3" t="s">
        <v>171</v>
      </c>
      <c r="B14" s="122">
        <f>IF(B8="Standard",MAX(ROUNDUP((B9-13.73)/B17,0),1),IF(B9&gt;14,ROUNDUP((B9-13.73),0),1))</f>
        <v>884</v>
      </c>
      <c r="F14" s="2"/>
      <c r="G14" s="2"/>
      <c r="H14" s="2"/>
      <c r="I14" s="2"/>
      <c r="J14" s="2"/>
    </row>
    <row r="15" spans="1:12" ht="16.149999999999999" hidden="1" customHeight="1">
      <c r="A15" s="3" t="s">
        <v>172</v>
      </c>
      <c r="B15" s="122" t="str">
        <f>IF((B11&lt;=8),"1","2")</f>
        <v>1</v>
      </c>
      <c r="F15" s="2"/>
      <c r="G15" s="2"/>
      <c r="H15" s="2"/>
      <c r="I15" s="21"/>
      <c r="J15" s="2"/>
    </row>
    <row r="16" spans="1:12" hidden="1">
      <c r="A16" s="3" t="s">
        <v>173</v>
      </c>
      <c r="B16" s="122">
        <f>B2*B3*B15+84</f>
        <v>3145812</v>
      </c>
      <c r="F16" s="2"/>
      <c r="G16" s="2"/>
      <c r="H16" s="2" t="s">
        <v>210</v>
      </c>
      <c r="I16" s="2">
        <f>IF(OR(B4=2,B5=2),397.5,423.75)</f>
        <v>423.75</v>
      </c>
      <c r="J16" s="2"/>
    </row>
    <row r="17" spans="1:10" hidden="1">
      <c r="A17" s="3" t="s">
        <v>174</v>
      </c>
      <c r="B17" s="122">
        <f>ROUNDUP(I16/37.5*1000,10)/1000</f>
        <v>11.3</v>
      </c>
      <c r="F17" s="2"/>
      <c r="G17" s="2"/>
      <c r="H17" s="2" t="s">
        <v>211</v>
      </c>
      <c r="I17" s="2">
        <f>IF(B8="Standard",ROUNDUP((B14+12)*B17,0)+ROUNDUP(B10/B17,0)*B17,B14+ROUNDUP((B3*B7+32)*B17+10,0)+B10+ROUNDUP(I21,0))</f>
        <v>10125</v>
      </c>
      <c r="J17" s="2"/>
    </row>
    <row r="18" spans="1:10" hidden="1">
      <c r="A18" s="3" t="s">
        <v>175</v>
      </c>
      <c r="B18" s="122">
        <f>IF(B8="Standard",(B3*B7+38)*B17,ROUNDUP((B3*B7+38)*B17,0)+10)</f>
        <v>17786.2</v>
      </c>
      <c r="F18"/>
      <c r="G18"/>
      <c r="H18" t="s">
        <v>212</v>
      </c>
      <c r="I18">
        <f>IF(B8="Standard",ROUNDUP((B3*B7+32)*B17,0),ROUNDUP((B3*B7+32)*B17,0)+10)</f>
        <v>17719</v>
      </c>
      <c r="J18"/>
    </row>
    <row r="19" spans="1:10">
      <c r="A19" s="3" t="s">
        <v>176</v>
      </c>
      <c r="B19" s="122" t="s">
        <v>177</v>
      </c>
      <c r="C19" s="121" t="str">
        <f>IF(OR(B3&gt;1536/B7,B3&lt;2,B2&gt;2048/B6,B2&lt;2),I6,IF(B4=2,IF(OR(B2&gt;2048/B4,B2&lt;2048/B4),I12,""),""))</f>
        <v/>
      </c>
      <c r="F19"/>
      <c r="G19"/>
      <c r="H19" s="2" t="s">
        <v>213</v>
      </c>
      <c r="I19" s="81">
        <f>IF(B8="Standard",ROUNDUP(MAX(ROUNDUP(B16*1000000/397000000/B17,0),ROUNDUP(B16*1000000/B12/B17,0))*B17,0),MAX(ROUNDUP(B16*1000000/397000000,0),ROUNDUP(B16*1000000/B12,0)))</f>
        <v>10487</v>
      </c>
      <c r="J19"/>
    </row>
    <row r="20" spans="1:10">
      <c r="A20" s="3" t="s">
        <v>178</v>
      </c>
      <c r="B20" s="122">
        <v>56</v>
      </c>
      <c r="F20"/>
      <c r="G20"/>
      <c r="H20" s="2" t="s">
        <v>214</v>
      </c>
      <c r="I20">
        <f>ROUNDUP(IF(B8="Standard",B17*(IF(B19="off",0,1))*ROUNDUP(1000*1000/(B17*B20),0),(IF(B19="off",0,1))*ROUNDUP(1000*1000/B20,0)),0)</f>
        <v>0</v>
      </c>
      <c r="J20"/>
    </row>
    <row r="21" spans="1:10" hidden="1">
      <c r="A21" s="3" t="s">
        <v>179</v>
      </c>
      <c r="B21" s="124">
        <f>MAX(I17,I18,I19,I20)</f>
        <v>17719</v>
      </c>
      <c r="H21" s="2" t="s">
        <v>215</v>
      </c>
      <c r="I21">
        <f>IF(AND(B8="UltraShort",B9&lt;=13),14.4,13.73)</f>
        <v>13.73</v>
      </c>
    </row>
    <row r="22" spans="1:10">
      <c r="A22" s="155" t="s">
        <v>180</v>
      </c>
      <c r="B22" s="156"/>
    </row>
    <row r="23" spans="1:10" ht="22.5">
      <c r="A23" s="125" t="s">
        <v>181</v>
      </c>
      <c r="B23" s="126">
        <f>1000000/B21</f>
        <v>56.43659348721711</v>
      </c>
    </row>
  </sheetData>
  <sheetProtection algorithmName="SHA-512" hashValue="aN/WYgv1YKloegqjCUJSHKzRBHv7mDUadzYDhANn8L8mjbO1tE2d+ugYL4wH69+ge5eoKIRNs3QA4rl2R3X7lA==" saltValue="fS61NE0c7k/2KcnvSzOYRw==" spinCount="100000" sheet="1" objects="1" scenarios="1" selectLockedCells="1"/>
  <mergeCells count="2">
    <mergeCell ref="A1:B1"/>
    <mergeCell ref="A22:B22"/>
  </mergeCells>
  <phoneticPr fontId="21" type="noConversion"/>
  <conditionalFormatting sqref="B2">
    <cfRule type="cellIs" dxfId="174" priority="4" operator="notBetween">
      <formula>16</formula>
      <formula>$G$7</formula>
    </cfRule>
  </conditionalFormatting>
  <conditionalFormatting sqref="B3">
    <cfRule type="cellIs" dxfId="173" priority="3" operator="notBetween">
      <formula>2</formula>
      <formula>$H$7</formula>
    </cfRule>
  </conditionalFormatting>
  <conditionalFormatting sqref="B6">
    <cfRule type="expression" dxfId="172" priority="1">
      <formula>AND(#REF!&gt;1,B6&gt;1)</formula>
    </cfRule>
  </conditionalFormatting>
  <conditionalFormatting sqref="B7">
    <cfRule type="expression" dxfId="171" priority="2">
      <formula>AND(B7&gt;1,#REF!&gt;1)</formula>
    </cfRule>
  </conditionalFormatting>
  <dataValidations count="12">
    <dataValidation type="custom" allowBlank="1" showInputMessage="1" showErrorMessage="1" errorTitle="Input parameter error" error="Input parameter error,Input range from 2 to 1536,and is an integer multiple of 2" sqref="B3" xr:uid="{00000000-0002-0000-1200-000000000000}">
      <formula1>AND(MOD(B3,2)=0,B3&gt;=2,B3&lt;=1536/B5,B3&lt;=1536/B7)</formula1>
    </dataValidation>
    <dataValidation type="custom" allowBlank="1" showInputMessage="1" showErrorMessage="1" errorTitle="Input parameter error" error="Input parameter error,Input range from 16 to 2048,and is an integer multiple of 8" sqref="B2" xr:uid="{00000000-0002-0000-1200-000001000000}">
      <formula1>AND(MOD(B2,8)=0,B2&gt;=16,B2&lt;=2048/B4,B2&lt;=2048/B6)</formula1>
    </dataValidation>
    <dataValidation allowBlank="1" showInputMessage="1" showErrorMessage="1" errorTitle="参数输入错误" error="8bit模式下范围35000000-400000000，步长1000000;_x000a_10bit模式下范围70000000-400000000，步长1000000" sqref="B13" xr:uid="{00000000-0002-0000-1200-000002000000}"/>
    <dataValidation type="list" allowBlank="1" showInputMessage="1" showErrorMessage="1" errorTitle="Input parameter error" error="Input Standard or UltraShort" sqref="B8" xr:uid="{00000000-0002-0000-1200-000003000000}">
      <formula1>"Standard,UltraShort"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 xr:uid="{00000000-0002-0000-1200-000004000000}">
      <formula1>OR(AND(B8="UltraShort",B9&gt;=1,B9&lt;=100),AND(B8="Standard",B9&gt;=20,B9&lt;=1000000))</formula1>
    </dataValidation>
    <dataValidation type="list" allowBlank="1" showInputMessage="1" showErrorMessage="1" errorTitle="Input parameter error" error="Input on or off" sqref="B19" xr:uid="{00000000-0002-0000-1200-000005000000}">
      <formula1>"on,off"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2" xr:uid="{00000000-0002-0000-1200-000006000000}">
      <formula1>OR(AND(B11=8,B12&gt;=35000000,B12&lt;=400000000,MOD(B12,1000000)=0),AND(B11=12,B12&gt;=70000000,B12&lt;=400000000,MOD(B12,1000000)=0))</formula1>
    </dataValidation>
    <dataValidation type="list" allowBlank="1" showInputMessage="1" showErrorMessage="1" errorTitle="Input parameter error" error="Input 8 or 12" sqref="B11" xr:uid="{00000000-0002-0000-1200-000007000000}">
      <formula1>"8,12"</formula1>
    </dataValidation>
    <dataValidation type="whole" allowBlank="1" showInputMessage="1" showErrorMessage="1" error="输入范围0-5000us" sqref="B10" xr:uid="{00000000-0002-0000-1200-000008000000}">
      <formula1>0</formula1>
      <formula2>5000</formula2>
    </dataValidation>
    <dataValidation type="custom" allowBlank="1" showInputMessage="1" showErrorMessage="1" errorTitle="Input parameter error" error="Input range from 0.1 to 10000,step 0.1" sqref="B20" xr:uid="{00000000-0002-0000-1200-000009000000}">
      <formula1>AND(MOD(10*B20,1)=0,B20&gt;=0.1,B20&lt;=10000)</formula1>
    </dataValidation>
    <dataValidation type="list" allowBlank="1" showInputMessage="1" showErrorMessage="1" errorTitle="Input parameter error" error="Input range is 1,2" sqref="B4:B5" xr:uid="{00000000-0002-0000-1200-00000A000000}">
      <formula1>"1,2"</formula1>
    </dataValidation>
    <dataValidation type="list" allowBlank="1" showInputMessage="1" showErrorMessage="1" errorTitle="Input parameter error" error="Input range is 1,2,4" sqref="B6:B7" xr:uid="{00000000-0002-0000-1200-00000B000000}">
      <formula1>"1,2,4"</formula1>
    </dataValidation>
  </dataValidations>
  <pageMargins left="0.7" right="0.7" top="0.75" bottom="0.75" header="0.3" footer="0.3"/>
  <pageSetup orientation="portrait" horizontalDpi="200" verticalDpi="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8"/>
  <sheetViews>
    <sheetView workbookViewId="0">
      <selection activeCell="H18" sqref="H18"/>
    </sheetView>
  </sheetViews>
  <sheetFormatPr defaultColWidth="9" defaultRowHeight="15"/>
  <cols>
    <col min="1" max="1" width="36.85546875" customWidth="1"/>
    <col min="2" max="2" width="30.7109375" customWidth="1"/>
  </cols>
  <sheetData>
    <row r="1" spans="1:2">
      <c r="A1" s="153" t="s">
        <v>165</v>
      </c>
      <c r="B1" s="154"/>
    </row>
    <row r="2" spans="1:2">
      <c r="A2" s="6" t="s">
        <v>166</v>
      </c>
      <c r="B2" s="7">
        <v>720</v>
      </c>
    </row>
    <row r="3" spans="1:2">
      <c r="A3" s="6" t="s">
        <v>167</v>
      </c>
      <c r="B3" s="7">
        <v>540</v>
      </c>
    </row>
    <row r="4" spans="1:2">
      <c r="A4" s="6" t="s">
        <v>168</v>
      </c>
      <c r="B4" s="7">
        <v>10000</v>
      </c>
    </row>
    <row r="5" spans="1:2">
      <c r="A5" s="6" t="s">
        <v>169</v>
      </c>
      <c r="B5" s="7">
        <v>8</v>
      </c>
    </row>
    <row r="6" spans="1:2">
      <c r="A6" s="6" t="s">
        <v>170</v>
      </c>
      <c r="B6" s="7">
        <v>300000000</v>
      </c>
    </row>
    <row r="7" spans="1:2" hidden="1">
      <c r="A7" s="6"/>
      <c r="B7" s="7"/>
    </row>
    <row r="8" spans="1:2" hidden="1">
      <c r="A8" s="6"/>
      <c r="B8" s="7"/>
    </row>
    <row r="9" spans="1:2" hidden="1">
      <c r="A9" s="6" t="s">
        <v>171</v>
      </c>
      <c r="B9" s="7">
        <f>MAX(ROUNDUP((B4-14.26)/B12,0),1)</f>
        <v>2548</v>
      </c>
    </row>
    <row r="10" spans="1:2" hidden="1">
      <c r="A10" s="6" t="s">
        <v>172</v>
      </c>
      <c r="B10" s="7" t="str">
        <f>IF((B5&lt;=8),"1","2")</f>
        <v>1</v>
      </c>
    </row>
    <row r="11" spans="1:2" hidden="1">
      <c r="A11" s="6" t="s">
        <v>173</v>
      </c>
      <c r="B11" s="7">
        <f>B2*B3*B10+84</f>
        <v>388884</v>
      </c>
    </row>
    <row r="12" spans="1:2" hidden="1">
      <c r="A12" s="6" t="s">
        <v>174</v>
      </c>
      <c r="B12" s="7">
        <f>147/37.5</f>
        <v>3.92</v>
      </c>
    </row>
    <row r="13" spans="1:2" hidden="1">
      <c r="A13" s="6" t="s">
        <v>175</v>
      </c>
      <c r="B13" s="7">
        <f>(B3+42)*B12</f>
        <v>2281.44</v>
      </c>
    </row>
    <row r="14" spans="1:2">
      <c r="A14" s="6" t="s">
        <v>176</v>
      </c>
      <c r="B14" s="7" t="s">
        <v>177</v>
      </c>
    </row>
    <row r="15" spans="1:2">
      <c r="A15" s="6" t="s">
        <v>178</v>
      </c>
      <c r="B15" s="7">
        <v>436</v>
      </c>
    </row>
    <row r="16" spans="1:2" hidden="1">
      <c r="A16" s="6" t="s">
        <v>179</v>
      </c>
      <c r="B16" s="95">
        <f>MAX(B11*1000000/B6,(B9+18)*B12,B13,B12*IF(B14="off",0,1)*INT(1000*1000/(B12*B15)))</f>
        <v>10058.719999999999</v>
      </c>
    </row>
    <row r="17" spans="1:2">
      <c r="A17" s="155" t="s">
        <v>180</v>
      </c>
      <c r="B17" s="156"/>
    </row>
    <row r="18" spans="1:2" ht="22.5">
      <c r="A18" s="11" t="s">
        <v>181</v>
      </c>
      <c r="B18" s="12">
        <f>1000000/B16</f>
        <v>99.416227909714166</v>
      </c>
    </row>
  </sheetData>
  <sheetProtection algorithmName="SHA-512" hashValue="sZAIaRsaRdoR+t3rDatGYqKXNNFdtkDLFagEmfKQgmbwdJMmQ7qLeS1Dzg1bLFZxi3hE17NauV2npfE6ae1MJA==" saltValue="cfOeIluf5v++uiM5gGa4Ag==" spinCount="100000" sheet="1" objects="1" scenarios="1"/>
  <mergeCells count="2">
    <mergeCell ref="A1:B1"/>
    <mergeCell ref="A17:B17"/>
  </mergeCells>
  <phoneticPr fontId="21" type="noConversion"/>
  <dataValidations count="7">
    <dataValidation type="whole" allowBlank="1" showInputMessage="1" showErrorMessage="1" errorTitle="Input parameter error" error="Input range from 20 to 1000000" sqref="B4" xr:uid="{00000000-0002-0000-0100-000000000000}">
      <formula1>20</formula1>
      <formula2>1000000</formula2>
    </dataValidation>
    <dataValidation type="custom" allowBlank="1" showInputMessage="1" showErrorMessage="1" errorTitle="Input parameter error" error="Input range from 64 to 720_x000a_,and is an integer multiple of 8" sqref="B2" xr:uid="{00000000-0002-0000-0100-000001000000}">
      <formula1>AND(MOD(B2,8)=0,B2&gt;=64,B2&lt;=720)</formula1>
    </dataValidation>
    <dataValidation type="custom" allowBlank="1" showInputMessage="1" showErrorMessage="1" errorTitle="Input parameter error" error="Input range from 0.1 to 10000,step 0.1" sqref="B15" xr:uid="{00000000-0002-0000-0100-000002000000}">
      <formula1>AND(MOD(10*B15,1)=0,B15&gt;=0.1,B15&lt;=10000)</formula1>
    </dataValidation>
    <dataValidation type="list" allowBlank="1" showInputMessage="1" showErrorMessage="1" errorTitle="Input parameter error" error="Input off or on" sqref="B14" xr:uid="{00000000-0002-0000-0100-000003000000}">
      <formula1>"off,on"</formula1>
    </dataValidation>
    <dataValidation type="list" allowBlank="1" showDropDown="1" showInputMessage="1" showErrorMessage="1" errorTitle="Input parameter error" error="Input 8 or 10" sqref="B5" xr:uid="{00000000-0002-0000-0100-000004000000}">
      <formula1>"8,10"</formula1>
    </dataValidation>
    <dataValidation type="custom" allowBlank="1" showInputMessage="1" showErrorMessage="1" errorTitle="Input parameter error" error="Input range from 4 to 540,and is an integer multiple of 2" sqref="B3" xr:uid="{00000000-0002-0000-0100-000005000000}">
      <formula1>AND(MOD(B3,2)=0,B3&gt;=4,B3&lt;=540)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 xr:uid="{00000000-0002-0000-0100-000006000000}">
      <formula1>OR(AND(B5=8,B6&gt;=35000000,B6&lt;=400000000,MOD(B6,1000000)=0),AND(B5=10,B6&gt;=70000000,B6&lt;=400000000,MOD(B6,1000000)=0))</formula1>
    </dataValidation>
  </dataValidations>
  <pageMargins left="0.7" right="0.7" top="0.75" bottom="0.75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26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18.140625" hidden="1" customWidth="1"/>
    <col min="7" max="7" width="18" hidden="1" customWidth="1"/>
    <col min="8" max="8" width="22.140625" hidden="1" customWidth="1"/>
    <col min="9" max="9" width="32.42578125" hidden="1" customWidth="1"/>
    <col min="10" max="10" width="24.5703125" hidden="1" customWidth="1"/>
    <col min="11" max="15" width="9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144">
        <v>2048</v>
      </c>
      <c r="C2" s="5" t="str">
        <f>IF(OR(B2&gt;2048/B5,B2&lt;8),LOOKUP(B5,F3:F5,I3:I5),IF(OR(B2&gt;2048/B7,B2&lt;8),LOOKUP(B7,F13:F15,I13:I15),""))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1536</v>
      </c>
      <c r="C3" s="5" t="str">
        <f>IF(OR(B3&gt;1536/B6,B3&lt;4),LOOKUP(B6,F3:F5,J3:J5),IF(OR(B3&gt;1536/B8,B3&lt;4),LOOKUP(B8,F13:F15,J13:J15),""))</f>
        <v/>
      </c>
      <c r="D3" s="2"/>
      <c r="E3" s="2"/>
      <c r="F3" s="2">
        <v>1</v>
      </c>
      <c r="G3" s="2">
        <v>2048</v>
      </c>
      <c r="H3" s="2">
        <v>1536</v>
      </c>
      <c r="I3" s="143" t="s">
        <v>428</v>
      </c>
      <c r="J3" s="143" t="s">
        <v>431</v>
      </c>
    </row>
    <row r="4" spans="1:10">
      <c r="A4" s="145" t="s">
        <v>434</v>
      </c>
      <c r="B4" s="144" t="s">
        <v>310</v>
      </c>
      <c r="C4" s="5" t="str">
        <f>IF(B4="Region0","","Only monochrome cameras support this feature!")</f>
        <v/>
      </c>
      <c r="D4" s="2"/>
      <c r="E4" s="2"/>
      <c r="F4" s="2">
        <v>2</v>
      </c>
      <c r="G4" s="2">
        <v>1024</v>
      </c>
      <c r="H4" s="2">
        <v>768</v>
      </c>
      <c r="I4" s="143" t="s">
        <v>429</v>
      </c>
      <c r="J4" s="143" t="s">
        <v>432</v>
      </c>
    </row>
    <row r="5" spans="1:10">
      <c r="A5" s="6" t="s">
        <v>187</v>
      </c>
      <c r="B5" s="7">
        <v>1</v>
      </c>
      <c r="C5" s="5" t="str">
        <f>IF(AND(B5&gt;1,B7&gt;1),"Horizontal binnning and skipping cannot be set to be greater than 2 at the same time",IF(AND(B4="Sensor",B5&gt;1),"Binning's selection of Sensor mode only supports a horizontal coefficient of 1",""))</f>
        <v/>
      </c>
      <c r="D5" s="2"/>
      <c r="E5" s="2"/>
      <c r="F5" s="2">
        <v>4</v>
      </c>
      <c r="G5" s="2">
        <v>512</v>
      </c>
      <c r="H5" s="2">
        <v>384</v>
      </c>
      <c r="I5" s="143" t="s">
        <v>430</v>
      </c>
      <c r="J5" s="143" t="s">
        <v>433</v>
      </c>
    </row>
    <row r="6" spans="1:10">
      <c r="A6" s="6" t="s">
        <v>190</v>
      </c>
      <c r="B6" s="7">
        <v>1</v>
      </c>
      <c r="C6" s="5" t="str">
        <f>IF(AND(B6&gt;1,B8&gt;1),"Vertical binnning and skipping cannot be set to be greater than 2 at the same time",IF(AND(B4="Sensor",B6&gt;2),"Binning's selection of Sensor mode only supports vertical coefficients of 1 or 2",""))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193</v>
      </c>
      <c r="B7" s="7">
        <v>1</v>
      </c>
      <c r="D7" s="2"/>
      <c r="E7" s="2"/>
      <c r="F7" s="2"/>
      <c r="G7" s="2">
        <v>2048</v>
      </c>
      <c r="H7" s="2">
        <v>1536</v>
      </c>
      <c r="I7" s="2"/>
      <c r="J7" s="2"/>
    </row>
    <row r="8" spans="1:10">
      <c r="A8" s="6" t="s">
        <v>195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196</v>
      </c>
      <c r="B9" s="7" t="s">
        <v>197</v>
      </c>
      <c r="C9" s="2"/>
      <c r="D9" s="2"/>
      <c r="E9" s="2"/>
      <c r="F9" s="143" t="s">
        <v>435</v>
      </c>
      <c r="G9" s="2"/>
      <c r="H9" s="2"/>
      <c r="I9" s="2"/>
      <c r="J9" s="2"/>
    </row>
    <row r="10" spans="1:10">
      <c r="A10" s="3" t="s">
        <v>168</v>
      </c>
      <c r="B10" s="7">
        <v>10000</v>
      </c>
      <c r="C10" s="5" t="str">
        <f>IF(AND(B9="UltraShort",B10&gt;100),"exposure time of ultrashort should not be more than 100us!",IF(AND(B9="Standard",B10&lt;20),"exposure time of standard should not be less than 20us!",""))</f>
        <v/>
      </c>
      <c r="D10" s="2"/>
      <c r="E10" s="2"/>
      <c r="F10" s="2">
        <f>IF(AND(B4="Sensor",B6=2),1,B6)</f>
        <v>1</v>
      </c>
      <c r="G10" s="2"/>
      <c r="H10" s="2"/>
      <c r="I10" s="2"/>
      <c r="J10" s="2"/>
    </row>
    <row r="11" spans="1:10">
      <c r="A11" s="3" t="s">
        <v>199</v>
      </c>
      <c r="B11" s="7">
        <v>0</v>
      </c>
      <c r="D11" s="2"/>
      <c r="E11" s="2"/>
      <c r="F11" s="2"/>
      <c r="G11" s="2"/>
      <c r="H11" s="2"/>
      <c r="I11" s="2"/>
      <c r="J11" s="2"/>
    </row>
    <row r="12" spans="1:10">
      <c r="A12" s="3" t="s">
        <v>315</v>
      </c>
      <c r="B12" s="7">
        <v>8</v>
      </c>
      <c r="C12" s="2"/>
      <c r="D12" s="2"/>
      <c r="E12" s="2"/>
      <c r="F12" s="2" t="s">
        <v>198</v>
      </c>
      <c r="G12" s="2" t="s">
        <v>183</v>
      </c>
      <c r="H12" s="2" t="s">
        <v>184</v>
      </c>
      <c r="I12" s="2"/>
      <c r="J12" s="2"/>
    </row>
    <row r="13" spans="1:10">
      <c r="A13" s="3" t="s">
        <v>170</v>
      </c>
      <c r="B13" s="7">
        <v>300000000</v>
      </c>
      <c r="C13" s="2"/>
      <c r="D13" s="2"/>
      <c r="E13" s="2"/>
      <c r="F13" s="2">
        <v>1</v>
      </c>
      <c r="G13" s="2">
        <v>2048</v>
      </c>
      <c r="H13" s="2">
        <v>1536</v>
      </c>
      <c r="I13" s="143" t="s">
        <v>428</v>
      </c>
      <c r="J13" s="143" t="s">
        <v>431</v>
      </c>
    </row>
    <row r="14" spans="1:10" hidden="1">
      <c r="A14" s="146"/>
      <c r="B14" s="147"/>
      <c r="C14" s="2"/>
      <c r="D14" s="2"/>
      <c r="E14" s="2"/>
      <c r="F14" s="2">
        <v>2</v>
      </c>
      <c r="G14" s="2">
        <v>1024</v>
      </c>
      <c r="H14" s="2">
        <v>768</v>
      </c>
      <c r="I14" s="143" t="s">
        <v>429</v>
      </c>
      <c r="J14" s="143" t="s">
        <v>432</v>
      </c>
    </row>
    <row r="15" spans="1:10" hidden="1">
      <c r="A15" s="146" t="s">
        <v>171</v>
      </c>
      <c r="B15" s="147">
        <f>IF(B9="Standard",MAX(ROUNDUP((B10-13.73)/B18,0),1),IF(B10&gt;14,ROUNDUP((B10-13.73),0),1))</f>
        <v>1693</v>
      </c>
      <c r="C15" s="2"/>
      <c r="D15" s="2"/>
      <c r="E15" s="2"/>
      <c r="F15" s="2">
        <v>4</v>
      </c>
      <c r="G15" s="2">
        <v>512</v>
      </c>
      <c r="H15" s="2">
        <v>384</v>
      </c>
      <c r="I15" s="143" t="s">
        <v>430</v>
      </c>
      <c r="J15" s="143" t="s">
        <v>433</v>
      </c>
    </row>
    <row r="16" spans="1:10" hidden="1">
      <c r="A16" s="146" t="s">
        <v>172</v>
      </c>
      <c r="B16" s="147" t="str">
        <f>IF((B12&lt;=8),"1","2")</f>
        <v>1</v>
      </c>
      <c r="C16" s="2"/>
      <c r="D16" s="2"/>
      <c r="E16" s="2"/>
      <c r="F16" s="2"/>
      <c r="G16" s="2"/>
      <c r="H16" s="2"/>
      <c r="I16" s="2" t="s">
        <v>194</v>
      </c>
      <c r="J16" s="2"/>
    </row>
    <row r="17" spans="1:10" hidden="1">
      <c r="A17" s="146" t="s">
        <v>173</v>
      </c>
      <c r="B17" s="147">
        <f>B2*B3*B16+84</f>
        <v>3145812</v>
      </c>
      <c r="C17" s="2"/>
      <c r="D17" s="2"/>
      <c r="E17" s="2"/>
      <c r="F17" s="2"/>
      <c r="G17" s="2">
        <v>2048</v>
      </c>
      <c r="H17" s="2">
        <v>1536</v>
      </c>
      <c r="I17" s="2"/>
      <c r="J17" s="2"/>
    </row>
    <row r="18" spans="1:10" hidden="1">
      <c r="A18" s="146" t="s">
        <v>174</v>
      </c>
      <c r="B18" s="147">
        <f>ROUNDUP(IF(B12=8,I20/45,2*I20/45)*1000,10)/1000</f>
        <v>5.9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146" t="s">
        <v>175</v>
      </c>
      <c r="B19" s="147">
        <f>IF(B9="Standard",(B3*B6*B8+38)*B18,ROUNDUP((B3*B6*B8+38)*B18,0)+10)</f>
        <v>9286.6</v>
      </c>
      <c r="C19" s="5"/>
      <c r="D19" s="2"/>
      <c r="E19" s="2"/>
      <c r="F19" s="2"/>
      <c r="G19" s="2"/>
      <c r="H19" s="2"/>
      <c r="I19" s="2"/>
      <c r="J19" s="2"/>
    </row>
    <row r="20" spans="1:10">
      <c r="A20" s="3" t="s">
        <v>176</v>
      </c>
      <c r="B20" s="7" t="s">
        <v>177</v>
      </c>
      <c r="F20" s="2"/>
      <c r="G20" s="2"/>
      <c r="H20" s="2" t="s">
        <v>210</v>
      </c>
      <c r="I20" s="2">
        <f>265.5</f>
        <v>265.5</v>
      </c>
      <c r="J20" s="2"/>
    </row>
    <row r="21" spans="1:10">
      <c r="A21" s="3" t="s">
        <v>178</v>
      </c>
      <c r="B21" s="7">
        <v>107.6</v>
      </c>
      <c r="F21" s="2"/>
      <c r="G21" s="2"/>
      <c r="H21" s="2"/>
      <c r="I21" s="2"/>
      <c r="J21" s="2"/>
    </row>
    <row r="22" spans="1:10" hidden="1">
      <c r="A22" s="148" t="s">
        <v>179</v>
      </c>
      <c r="B22" s="149">
        <f>MAX(I22,I23,I24,I25)</f>
        <v>10491</v>
      </c>
      <c r="F22" s="2"/>
      <c r="G22" s="2"/>
      <c r="H22" s="2" t="s">
        <v>211</v>
      </c>
      <c r="I22" s="2">
        <f>IF(B9="Standard",ROUNDUP((B15+14)*B18,0)+ROUNDUP(B11/B18,0)*B18,B15+ROUNDUP((B3*F10*B8+38)*B18,0)+10+B11+ROUNDUP(I26,0))</f>
        <v>10072</v>
      </c>
      <c r="J22" s="2"/>
    </row>
    <row r="23" spans="1:10">
      <c r="A23" s="155" t="s">
        <v>180</v>
      </c>
      <c r="B23" s="156"/>
      <c r="H23" t="s">
        <v>212</v>
      </c>
      <c r="I23" s="2">
        <f>IF(B9="Standard",ROUNDUP((B3*F10*B8+38)*B18,0),ROUNDUP((B3*F10*B8+38)*B18,0)+10)</f>
        <v>9287</v>
      </c>
    </row>
    <row r="24" spans="1:10" ht="22.5">
      <c r="A24" s="11" t="s">
        <v>181</v>
      </c>
      <c r="B24" s="12">
        <f>1000000/B22</f>
        <v>95.3197979220284</v>
      </c>
      <c r="C24" s="19" t="str">
        <f>IF(OR(B3&gt;1536/B6,B3&gt;1536/B8,B3&lt;4,B2&gt;2048/B5,B2&gt;2048/B7,B2&lt;8),I6,"")</f>
        <v/>
      </c>
      <c r="H24" s="2" t="s">
        <v>213</v>
      </c>
      <c r="I24">
        <f>IF(B9="Standard",ROUNDUP(MAX(ROUNDUP(B17*1000000/396000000/B18,0),ROUNDUP(B17*1000000/B13/B18,0))*B18,0),MAX(ROUNDUP(B17*1000000/396000000,0),ROUNDUP(B17*1000000/B13,0)))</f>
        <v>10491</v>
      </c>
    </row>
    <row r="25" spans="1:10">
      <c r="H25" s="2" t="s">
        <v>214</v>
      </c>
      <c r="I25">
        <f>IF(B9="Standard",B18*(IF(B20="off",0,1))*ROUNDUP(1000*1000/(B18*B21),0),(IF(B20="off",0,1))*ROUNDUP(1000*1000/B21,0))</f>
        <v>0</v>
      </c>
    </row>
    <row r="26" spans="1:10">
      <c r="H26" s="2" t="s">
        <v>215</v>
      </c>
      <c r="I26">
        <f>IF(AND(B9="UltraShort",B10&lt;=14),14.44,13.73)</f>
        <v>13.73</v>
      </c>
    </row>
  </sheetData>
  <sheetProtection algorithmName="SHA-512" hashValue="1J95VD7kAFSE2CNaeIU2lef8Z92clQNPXM7Sskyrwhn2XUlUSd3FVYtBWRthQscxBxAoUYZFBU3pmDZaWjh+dg==" saltValue="pug7FoCd4nALGyhdPm+V3Q==" spinCount="100000" sheet="1" objects="1" scenarios="1" selectLockedCells="1"/>
  <mergeCells count="2">
    <mergeCell ref="A1:B1"/>
    <mergeCell ref="A23:B23"/>
  </mergeCells>
  <phoneticPr fontId="21" type="noConversion"/>
  <conditionalFormatting sqref="B2">
    <cfRule type="cellIs" dxfId="170" priority="29" operator="notBetween">
      <formula>8</formula>
      <formula>$G$13</formula>
    </cfRule>
    <cfRule type="cellIs" dxfId="169" priority="30" operator="notBetween">
      <formula>8</formula>
      <formula>$G$7</formula>
    </cfRule>
  </conditionalFormatting>
  <conditionalFormatting sqref="B3">
    <cfRule type="cellIs" dxfId="168" priority="27" operator="notBetween">
      <formula>4</formula>
      <formula>$H$7</formula>
    </cfRule>
    <cfRule type="cellIs" dxfId="167" priority="28" operator="notBetween">
      <formula>4</formula>
      <formula>$H$17</formula>
    </cfRule>
  </conditionalFormatting>
  <conditionalFormatting sqref="B5">
    <cfRule type="expression" dxfId="166" priority="6">
      <formula>AND(B7&gt;1,B5&gt;1)</formula>
    </cfRule>
  </conditionalFormatting>
  <conditionalFormatting sqref="B6">
    <cfRule type="expression" dxfId="165" priority="4">
      <formula>AND(B6&gt;1,B8&gt;1)</formula>
    </cfRule>
  </conditionalFormatting>
  <conditionalFormatting sqref="B7">
    <cfRule type="expression" dxfId="164" priority="5">
      <formula>AND(B7&gt;1,B5&gt;1)</formula>
    </cfRule>
  </conditionalFormatting>
  <conditionalFormatting sqref="B8">
    <cfRule type="expression" dxfId="163" priority="3">
      <formula>AND(B6&gt;1,B8&gt;1)</formula>
    </cfRule>
  </conditionalFormatting>
  <dataValidations count="13">
    <dataValidation type="list" allowBlank="1" showInputMessage="1" showErrorMessage="1" errorTitle="Input parameter error" error="Input range is 1,2,4" sqref="B7:B8" xr:uid="{00000000-0002-0000-1300-000000000000}">
      <formula1>"1,2,4"</formula1>
    </dataValidation>
    <dataValidation type="custom" allowBlank="1" showInputMessage="1" showErrorMessage="1" errorTitle="Input parameter error" error="Input range from 0.1 to 10000,step 0.1" sqref="B21" xr:uid="{00000000-0002-0000-1300-000001000000}">
      <formula1>AND(MOD(10*B21,1)=0,B21&gt;=0.1,B21&lt;=10000)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3" xr:uid="{00000000-0002-0000-1300-000002000000}">
      <formula1>OR(AND(B12=8,B13&gt;=35000000,B13&lt;=400000000,MOD(B13,1000000)=0),AND(B12=12,B13&gt;=70000000,B13&lt;=400000000,MOD(B13,1000000)=0))</formula1>
    </dataValidation>
    <dataValidation type="list" allowBlank="1" showInputMessage="1" showErrorMessage="1" errorTitle="Input parameter error" error="Input on or off" sqref="B20" xr:uid="{00000000-0002-0000-1300-000003000000}">
      <formula1>"on,off"</formula1>
    </dataValidation>
    <dataValidation type="whole" allowBlank="1" showInputMessage="1" showErrorMessage="1" error="Exposure delay time range is 0-5000" sqref="B11" xr:uid="{00000000-0002-0000-1300-000004000000}">
      <formula1>0</formula1>
      <formula2>5000</formula2>
    </dataValidation>
    <dataValidation type="list" allowBlank="1" showInputMessage="1" showErrorMessage="1" errorTitle="Input parameter error" error="Input Standard or UltraShort" sqref="B9" xr:uid="{00000000-0002-0000-1300-000005000000}">
      <formula1>"Standard,UltraShort"</formula1>
    </dataValidation>
    <dataValidation type="custom" allowBlank="1" showInputMessage="1" showErrorMessage="1" errorTitle="Input parameter error" error="Input parameter error,Input range from 4 to 1536,and is an integer multiple of 2" sqref="B3" xr:uid="{00000000-0002-0000-1300-000006000000}">
      <formula1>AND(MOD(B3,2)=0,B3&gt;=4,B3&lt;=1536/B6)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1300-000007000000}">
      <formula1>OR(AND(B9="UltraShort",B10&gt;=1,B10&lt;=100),AND(B9="Standard",B10&gt;=20,B10&lt;=1000000))</formula1>
    </dataValidation>
    <dataValidation type="list" allowBlank="1" showInputMessage="1" showErrorMessage="1" errorTitle="Input parameter error" error="Input 8 or 12" sqref="B12" xr:uid="{00000000-0002-0000-1300-000008000000}">
      <formula1>"8,12"</formula1>
    </dataValidation>
    <dataValidation type="list" allowBlank="1" showInputMessage="1" showErrorMessage="1" error="Please enter Region0 or Sensor" sqref="B4" xr:uid="{00000000-0002-0000-1300-000009000000}">
      <formula1>"Region0,Sensor"</formula1>
    </dataValidation>
    <dataValidation type="custom" allowBlank="1" showInputMessage="1" showErrorMessage="1" errorTitle="参数输入错误" error="Input parameter error,Input range from 8 to 2048,and is an integer multiple of 8" sqref="B2" xr:uid="{00000000-0002-0000-1300-00000A000000}">
      <formula1>AND(MOD(B2,8)=0,B2&gt;=8,B2&lt;=2048/B5)</formula1>
    </dataValidation>
    <dataValidation type="list" allowBlank="1" showInputMessage="1" showErrorMessage="1" errorTitle="Input parameter error" error="When Binning selects Sensor, the value that can be entered is 1; When Binning selects Region0, the values that can be entered are 1,2,4" sqref="B5" xr:uid="{00000000-0002-0000-1300-00000B000000}">
      <formula1>IF($B$4="Region0",$F$3:$F$5,$F$3)</formula1>
    </dataValidation>
    <dataValidation type="list" allowBlank="1" showInputMessage="1" showErrorMessage="1" errorTitle="Input parameter error" error="When Binning selects Sensor, the value that can be entered is 1,2; When Binning selects Region0, the values that can be entered are 1,2,4" sqref="B6" xr:uid="{00000000-0002-0000-1300-00000C000000}">
      <formula1>IF($B$4="Region0",$F$3:$F$5,$F$3:$F$4)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26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18.140625" hidden="1" customWidth="1"/>
    <col min="7" max="7" width="18" hidden="1" customWidth="1"/>
    <col min="8" max="8" width="22.140625" hidden="1" customWidth="1"/>
    <col min="9" max="9" width="32.42578125" hidden="1" customWidth="1"/>
    <col min="10" max="10" width="24.5703125" hidden="1" customWidth="1"/>
    <col min="11" max="15" width="9" customWidth="1"/>
  </cols>
  <sheetData>
    <row r="1" spans="1:10">
      <c r="A1" s="165" t="s">
        <v>165</v>
      </c>
      <c r="B1" s="166"/>
      <c r="C1" s="2"/>
      <c r="D1" s="2"/>
      <c r="E1" s="2"/>
      <c r="F1" s="2"/>
      <c r="G1" s="2"/>
      <c r="H1" s="2"/>
      <c r="I1" s="2"/>
      <c r="J1" s="2"/>
    </row>
    <row r="2" spans="1:10">
      <c r="A2" s="145" t="s">
        <v>166</v>
      </c>
      <c r="B2" s="144">
        <v>2048</v>
      </c>
      <c r="C2" s="5" t="str">
        <f>IF(OR(B2&gt;2048/B5,B2&lt;8),LOOKUP(B5,F3:F5,I3:I5),IF(OR(B2&gt;2048/B7,B2&lt;8),LOOKUP(B7,F13:F15,I13:I15),""))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145" t="s">
        <v>167</v>
      </c>
      <c r="B3" s="144">
        <v>1536</v>
      </c>
      <c r="C3" s="5" t="str">
        <f>IF(OR(B3&gt;1536/B6,B3&lt;4),LOOKUP(B6,F3:F5,J3:J5),IF(OR(B3&gt;1536/B8,B3&lt;4),LOOKUP(B8,F13:F15,J13:J15),""))</f>
        <v/>
      </c>
      <c r="D3" s="2"/>
      <c r="E3" s="2"/>
      <c r="F3" s="2">
        <v>1</v>
      </c>
      <c r="G3" s="2">
        <v>2048</v>
      </c>
      <c r="H3" s="2">
        <v>1536</v>
      </c>
      <c r="I3" s="143" t="s">
        <v>437</v>
      </c>
      <c r="J3" s="143" t="s">
        <v>438</v>
      </c>
    </row>
    <row r="4" spans="1:10">
      <c r="A4" s="145" t="s">
        <v>439</v>
      </c>
      <c r="B4" s="144" t="s">
        <v>310</v>
      </c>
      <c r="C4" s="5"/>
      <c r="D4" s="2"/>
      <c r="E4" s="2"/>
      <c r="F4" s="2">
        <v>2</v>
      </c>
      <c r="G4" s="2">
        <v>1024</v>
      </c>
      <c r="H4" s="2">
        <v>768</v>
      </c>
      <c r="I4" s="143" t="s">
        <v>440</v>
      </c>
      <c r="J4" s="143" t="s">
        <v>441</v>
      </c>
    </row>
    <row r="5" spans="1:10">
      <c r="A5" s="150" t="s">
        <v>187</v>
      </c>
      <c r="B5" s="151">
        <v>1</v>
      </c>
      <c r="C5" s="5" t="str">
        <f>IF(AND(B5&gt;1,B7&gt;1),"Horizontal binnning and skipping cannot be set to be greater than 2 at the same time",IF(AND(B4="Sensor",B5&gt;1),"Binning's selection of Sensor mode only supports a horizontal coefficient of 1",""))</f>
        <v/>
      </c>
      <c r="D5" s="2"/>
      <c r="E5" s="2"/>
      <c r="F5" s="2">
        <v>4</v>
      </c>
      <c r="G5" s="2">
        <v>512</v>
      </c>
      <c r="H5" s="2">
        <v>384</v>
      </c>
      <c r="I5" s="143" t="s">
        <v>442</v>
      </c>
      <c r="J5" s="143" t="s">
        <v>443</v>
      </c>
    </row>
    <row r="6" spans="1:10">
      <c r="A6" s="150" t="s">
        <v>190</v>
      </c>
      <c r="B6" s="151">
        <v>1</v>
      </c>
      <c r="C6" s="5" t="str">
        <f>IF(AND(B6&gt;1,B8&gt;1),"Vertical binnning and skipping cannot be set to be greater than 2 at the same time",IF(AND(B4="Sensor",B6&gt;2),"Binning's selection of Sensor mode only supports vertical coefficients of 1 or 2",""))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150" t="s">
        <v>193</v>
      </c>
      <c r="B7" s="151">
        <v>1</v>
      </c>
      <c r="D7" s="2"/>
      <c r="E7" s="2"/>
      <c r="F7" s="2"/>
      <c r="G7" s="2">
        <v>2048</v>
      </c>
      <c r="H7" s="2">
        <v>1536</v>
      </c>
      <c r="I7" s="2"/>
      <c r="J7" s="2"/>
    </row>
    <row r="8" spans="1:10">
      <c r="A8" s="150" t="s">
        <v>195</v>
      </c>
      <c r="B8" s="151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150" t="s">
        <v>196</v>
      </c>
      <c r="B9" s="151" t="s">
        <v>197</v>
      </c>
      <c r="C9" s="2"/>
      <c r="D9" s="2"/>
      <c r="E9" s="2"/>
      <c r="F9" s="143" t="s">
        <v>444</v>
      </c>
      <c r="G9" s="2"/>
      <c r="H9" s="2"/>
      <c r="I9" s="2"/>
      <c r="J9" s="2"/>
    </row>
    <row r="10" spans="1:10">
      <c r="A10" s="145" t="s">
        <v>168</v>
      </c>
      <c r="B10" s="151">
        <v>10000</v>
      </c>
      <c r="C10" s="5" t="str">
        <f>IF(AND(B9="UltraShort",B10&gt;100),"exposure time of ultrashort should not be more than 100us!",IF(AND(B9="Standard",B10&lt;20),"exposure time of standard should not be less than 20us!",""))</f>
        <v/>
      </c>
      <c r="D10" s="2"/>
      <c r="E10" s="2"/>
      <c r="F10" s="2">
        <f>IF(AND(B4="Sensor",B6=2),1,B6)</f>
        <v>1</v>
      </c>
      <c r="G10" s="2"/>
      <c r="H10" s="2"/>
      <c r="I10" s="2"/>
      <c r="J10" s="2"/>
    </row>
    <row r="11" spans="1:10">
      <c r="A11" s="145" t="s">
        <v>199</v>
      </c>
      <c r="B11" s="151">
        <v>0</v>
      </c>
      <c r="D11" s="2"/>
      <c r="E11" s="2"/>
      <c r="F11" s="2"/>
      <c r="G11" s="2"/>
      <c r="H11" s="2"/>
      <c r="I11" s="2"/>
      <c r="J11" s="2"/>
    </row>
    <row r="12" spans="1:10">
      <c r="A12" s="145" t="s">
        <v>315</v>
      </c>
      <c r="B12" s="151">
        <v>8</v>
      </c>
      <c r="C12" s="2"/>
      <c r="D12" s="2"/>
      <c r="E12" s="2"/>
      <c r="F12" s="2" t="s">
        <v>198</v>
      </c>
      <c r="G12" s="2" t="s">
        <v>183</v>
      </c>
      <c r="H12" s="2" t="s">
        <v>184</v>
      </c>
      <c r="I12" s="2"/>
      <c r="J12" s="2"/>
    </row>
    <row r="13" spans="1:10">
      <c r="A13" s="145" t="s">
        <v>170</v>
      </c>
      <c r="B13" s="151">
        <v>300000000</v>
      </c>
      <c r="C13" s="2"/>
      <c r="D13" s="2"/>
      <c r="E13" s="2"/>
      <c r="F13" s="2">
        <v>1</v>
      </c>
      <c r="G13" s="2">
        <v>2048</v>
      </c>
      <c r="H13" s="2">
        <v>1536</v>
      </c>
      <c r="I13" s="143" t="s">
        <v>437</v>
      </c>
      <c r="J13" s="143" t="s">
        <v>438</v>
      </c>
    </row>
    <row r="14" spans="1:10" hidden="1">
      <c r="A14" s="146"/>
      <c r="B14" s="147"/>
      <c r="C14" s="2"/>
      <c r="D14" s="2"/>
      <c r="E14" s="2"/>
      <c r="F14" s="2">
        <v>2</v>
      </c>
      <c r="G14" s="2">
        <v>1024</v>
      </c>
      <c r="H14" s="2">
        <v>768</v>
      </c>
      <c r="I14" s="143" t="s">
        <v>440</v>
      </c>
      <c r="J14" s="143" t="s">
        <v>441</v>
      </c>
    </row>
    <row r="15" spans="1:10" hidden="1">
      <c r="A15" s="146" t="s">
        <v>171</v>
      </c>
      <c r="B15" s="147">
        <f>IF(B9="Standard",MAX(ROUNDUP((B10-13.73)/B18,0),1),IF(B10&gt;14,ROUNDUP((B10-13.73),0),1))</f>
        <v>884</v>
      </c>
      <c r="C15" s="2"/>
      <c r="D15" s="2"/>
      <c r="E15" s="2"/>
      <c r="F15" s="2">
        <v>4</v>
      </c>
      <c r="G15" s="2">
        <v>512</v>
      </c>
      <c r="H15" s="2">
        <v>384</v>
      </c>
      <c r="I15" s="143" t="s">
        <v>442</v>
      </c>
      <c r="J15" s="143" t="s">
        <v>443</v>
      </c>
    </row>
    <row r="16" spans="1:10" hidden="1">
      <c r="A16" s="146" t="s">
        <v>172</v>
      </c>
      <c r="B16" s="147" t="str">
        <f>IF((B12&lt;=8),"1","2")</f>
        <v>1</v>
      </c>
      <c r="C16" s="2"/>
      <c r="D16" s="2"/>
      <c r="E16" s="2"/>
      <c r="F16" s="2"/>
      <c r="G16" s="2"/>
      <c r="H16" s="2"/>
      <c r="I16" s="2" t="s">
        <v>194</v>
      </c>
      <c r="J16" s="2"/>
    </row>
    <row r="17" spans="1:10" hidden="1">
      <c r="A17" s="146" t="s">
        <v>173</v>
      </c>
      <c r="B17" s="147">
        <f>B2*B3*B16+84</f>
        <v>3145812</v>
      </c>
      <c r="C17" s="2"/>
      <c r="D17" s="2"/>
      <c r="E17" s="2"/>
      <c r="F17" s="2"/>
      <c r="G17" s="2">
        <v>2048</v>
      </c>
      <c r="H17" s="2">
        <v>1536</v>
      </c>
      <c r="I17" s="2"/>
      <c r="J17" s="2"/>
    </row>
    <row r="18" spans="1:10" hidden="1">
      <c r="A18" s="146" t="s">
        <v>174</v>
      </c>
      <c r="B18" s="147">
        <f>ROUNDUP(I20/37.5*1000,10)/1000</f>
        <v>11.3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146" t="s">
        <v>175</v>
      </c>
      <c r="B19" s="147">
        <f>IF(B9="Standard",(B3*B6*B8+38)*B18,ROUNDUP((B3*B6*B8+38)*B18,0)+10)</f>
        <v>17786.2</v>
      </c>
      <c r="C19" s="5"/>
      <c r="D19" s="2"/>
      <c r="E19" s="2"/>
      <c r="F19" s="2"/>
      <c r="G19" s="2"/>
      <c r="H19" s="2"/>
      <c r="I19" s="2"/>
      <c r="J19" s="2"/>
    </row>
    <row r="20" spans="1:10">
      <c r="A20" s="145" t="s">
        <v>176</v>
      </c>
      <c r="B20" s="151" t="s">
        <v>177</v>
      </c>
      <c r="F20" s="2"/>
      <c r="G20" s="2"/>
      <c r="H20" s="2" t="s">
        <v>210</v>
      </c>
      <c r="I20" s="2">
        <f>423.75</f>
        <v>423.75</v>
      </c>
      <c r="J20" s="2"/>
    </row>
    <row r="21" spans="1:10">
      <c r="A21" s="145" t="s">
        <v>178</v>
      </c>
      <c r="B21" s="151">
        <v>56.2</v>
      </c>
      <c r="F21" s="2"/>
      <c r="G21" s="2"/>
      <c r="H21" s="2"/>
      <c r="I21" s="2"/>
      <c r="J21" s="2"/>
    </row>
    <row r="22" spans="1:10" hidden="1">
      <c r="A22" s="148" t="s">
        <v>179</v>
      </c>
      <c r="B22" s="149">
        <f>MAX(I22,I23,I24,I25)</f>
        <v>17787</v>
      </c>
      <c r="F22" s="2"/>
      <c r="G22" s="2"/>
      <c r="H22" s="2" t="s">
        <v>211</v>
      </c>
      <c r="I22" s="2">
        <f>IF(B9="Standard",ROUNDUP((B15+14)*B18,0)+ROUNDUP(B11/B18,0)*B18,B15+ROUNDUP((B3*F10*B8+38)*B18,0)+10+B11+ROUNDUP(I26,0))</f>
        <v>10148</v>
      </c>
      <c r="J22" s="2"/>
    </row>
    <row r="23" spans="1:10">
      <c r="A23" s="155" t="s">
        <v>180</v>
      </c>
      <c r="B23" s="156"/>
      <c r="H23" t="s">
        <v>212</v>
      </c>
      <c r="I23" s="2">
        <f>IF(B9="Standard",ROUNDUP((B3*F10*B8+38)*B18,0),ROUNDUP((B3*F10*B8+38)*B18,0)+10)</f>
        <v>17787</v>
      </c>
    </row>
    <row r="24" spans="1:10" ht="22.5">
      <c r="A24" s="11" t="s">
        <v>181</v>
      </c>
      <c r="B24" s="12">
        <f>1000000/B22</f>
        <v>56.220835441614661</v>
      </c>
      <c r="C24" s="19" t="str">
        <f>IF(OR(B3&gt;1536/B6,B3&gt;1536/B8,B3&lt;4,B2&gt;2048/B5,B2&gt;2048/B7,B2&lt;8),I6,"")</f>
        <v/>
      </c>
      <c r="H24" s="2" t="s">
        <v>213</v>
      </c>
      <c r="I24">
        <f>IF(B9="Standard",ROUNDUP(MAX(ROUNDUP(B17*1000000/396000000/B18,0),ROUNDUP(B17*1000000/B13/B18,0))*B18,0),MAX(ROUNDUP(B17*1000000/396000000,0),ROUNDUP(B17*1000000/B13,0)))</f>
        <v>10487</v>
      </c>
    </row>
    <row r="25" spans="1:10">
      <c r="H25" s="2" t="s">
        <v>214</v>
      </c>
      <c r="I25">
        <f>IF(B9="Standard",B18*(IF(B20="off",0,1))*ROUNDUP(1000*1000/(B18*B21),0),(IF(B20="off",0,1))*ROUNDUP(1000*1000/B21,0))</f>
        <v>0</v>
      </c>
    </row>
    <row r="26" spans="1:10">
      <c r="H26" s="2" t="s">
        <v>215</v>
      </c>
      <c r="I26">
        <f>IF(AND(B9="UltraShort",B10&lt;=14),14.44,13.73)</f>
        <v>13.73</v>
      </c>
    </row>
  </sheetData>
  <sheetProtection algorithmName="SHA-512" hashValue="ncvFfZsfq0ROi9hye4uNAmFEl7DEswpw+WrI+Gf872/dhI9FbUDCZFRNr4KtZCCp3kjmox8gLLgDV6lmcQUnGA==" saltValue="1565lMTC8GOMK39DkgYOhQ==" spinCount="100000" sheet="1" objects="1" scenarios="1" selectLockedCells="1"/>
  <mergeCells count="2">
    <mergeCell ref="A1:B1"/>
    <mergeCell ref="A23:B23"/>
  </mergeCells>
  <phoneticPr fontId="21" type="noConversion"/>
  <conditionalFormatting sqref="B2">
    <cfRule type="cellIs" dxfId="162" priority="7" operator="notBetween">
      <formula>8</formula>
      <formula>$G$13</formula>
    </cfRule>
    <cfRule type="cellIs" dxfId="161" priority="8" operator="notBetween">
      <formula>8</formula>
      <formula>$G$7</formula>
    </cfRule>
  </conditionalFormatting>
  <conditionalFormatting sqref="B3">
    <cfRule type="cellIs" dxfId="160" priority="5" operator="notBetween">
      <formula>4</formula>
      <formula>$H$7</formula>
    </cfRule>
    <cfRule type="cellIs" dxfId="159" priority="6" operator="notBetween">
      <formula>4</formula>
      <formula>$H$17</formula>
    </cfRule>
  </conditionalFormatting>
  <conditionalFormatting sqref="B5">
    <cfRule type="expression" dxfId="158" priority="4">
      <formula>AND(B7&gt;1,B5&gt;1)</formula>
    </cfRule>
  </conditionalFormatting>
  <conditionalFormatting sqref="B6">
    <cfRule type="expression" dxfId="157" priority="2">
      <formula>AND(B6&gt;1,B8&gt;1)</formula>
    </cfRule>
  </conditionalFormatting>
  <conditionalFormatting sqref="B7">
    <cfRule type="expression" dxfId="156" priority="3">
      <formula>AND(B7&gt;1,B5&gt;1)</formula>
    </cfRule>
  </conditionalFormatting>
  <conditionalFormatting sqref="B8">
    <cfRule type="expression" dxfId="155" priority="1">
      <formula>AND(B6&gt;1,B8&gt;1)</formula>
    </cfRule>
  </conditionalFormatting>
  <dataValidations count="13">
    <dataValidation type="list" allowBlank="1" showInputMessage="1" showErrorMessage="1" errorTitle="Input parameter error" error="Input range is 1,2,4" sqref="B7:B8" xr:uid="{00000000-0002-0000-1400-000000000000}">
      <formula1>"1,2,4"</formula1>
    </dataValidation>
    <dataValidation type="custom" allowBlank="1" showInputMessage="1" showErrorMessage="1" errorTitle="Input parameter error" error="Input range from 0.1 to 10000,step 0.1" sqref="B21" xr:uid="{00000000-0002-0000-1400-000001000000}">
      <formula1>AND(MOD(10*B21,1)=0,B21&gt;=0.1,B21&lt;=10000)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3" xr:uid="{00000000-0002-0000-1400-000002000000}">
      <formula1>OR(AND(B12=8,B13&gt;=35000000,B13&lt;=400000000,MOD(B13,1000000)=0),AND(B12=12,B13&gt;=70000000,B13&lt;=400000000,MOD(B13,1000000)=0))</formula1>
    </dataValidation>
    <dataValidation type="list" allowBlank="1" showInputMessage="1" showErrorMessage="1" errorTitle="Input parameter error" error="Input on or off" sqref="B20" xr:uid="{00000000-0002-0000-1400-000003000000}">
      <formula1>"on,off"</formula1>
    </dataValidation>
    <dataValidation type="whole" allowBlank="1" showInputMessage="1" showErrorMessage="1" error="Exposure delay time range is 0-5000" sqref="B11" xr:uid="{00000000-0002-0000-1400-000004000000}">
      <formula1>0</formula1>
      <formula2>5000</formula2>
    </dataValidation>
    <dataValidation type="list" allowBlank="1" showInputMessage="1" showErrorMessage="1" errorTitle="Input parameter error" error="Input Standard or UltraShort" sqref="B9" xr:uid="{00000000-0002-0000-1400-000005000000}">
      <formula1>"Standard,UltraShort"</formula1>
    </dataValidation>
    <dataValidation type="custom" allowBlank="1" showInputMessage="1" showErrorMessage="1" errorTitle="Input parameter error" error="Input parameter error,Input range from 4 to 1536,and is an integer multiple of 2" sqref="B3" xr:uid="{00000000-0002-0000-1400-000006000000}">
      <formula1>AND(MOD(B3,2)=0,B3&gt;=4,B3&lt;=1536/B6)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1400-000007000000}">
      <formula1>OR(AND(B9="UltraShort",B10&gt;=1,B10&lt;=100),AND(B9="Standard",B10&gt;=20,B10&lt;=1000000))</formula1>
    </dataValidation>
    <dataValidation type="list" allowBlank="1" showInputMessage="1" showErrorMessage="1" errorTitle="Input parameter error" error="Input 8 or 12" sqref="B12" xr:uid="{00000000-0002-0000-1400-000008000000}">
      <formula1>"8,12"</formula1>
    </dataValidation>
    <dataValidation type="list" allowBlank="1" showInputMessage="1" showErrorMessage="1" error="Please enter Region0 or Sensor" sqref="B4" xr:uid="{00000000-0002-0000-1400-000009000000}">
      <formula1>"Region0,Sensor"</formula1>
    </dataValidation>
    <dataValidation type="custom" allowBlank="1" showInputMessage="1" showErrorMessage="1" errorTitle="参数输入错误" error="Input parameter error,Input range from 8 to 2048,and is an integer multiple of 8" sqref="B2" xr:uid="{00000000-0002-0000-1400-00000A000000}">
      <formula1>AND(MOD(B2,8)=0,B2&gt;=8,B2&lt;=2048/B5)</formula1>
    </dataValidation>
    <dataValidation type="list" allowBlank="1" showInputMessage="1" showErrorMessage="1" errorTitle="Input parameter error" error="When Binning selects Sensor, the value that can be entered is 1; When Binning selects Region0, the values that can be entered are 1,2,4" sqref="B5" xr:uid="{00000000-0002-0000-1400-00000B000000}">
      <formula1>IF($B$4="Region0",$F$3:$F$5,$F$3)</formula1>
    </dataValidation>
    <dataValidation type="list" allowBlank="1" showInputMessage="1" showErrorMessage="1" errorTitle="Input parameter error" error="When Binning selects Sensor, the value that can be entered is 1,2; When Binning selects Region0, the values that can be entered are 1,2,4" sqref="B6" xr:uid="{00000000-0002-0000-1400-00000C000000}">
      <formula1>IF($B$4="Region0",$F$3:$F$5,$F$3:$F$4)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25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hidden="1" customWidth="1"/>
    <col min="6" max="6" width="9" hidden="1" customWidth="1"/>
    <col min="7" max="7" width="18" hidden="1" customWidth="1"/>
    <col min="8" max="8" width="22.140625" hidden="1" customWidth="1"/>
    <col min="9" max="9" width="32.42578125" hidden="1" customWidth="1"/>
    <col min="10" max="10" width="24.5703125" hidden="1" customWidth="1"/>
    <col min="11" max="14" width="9" hidden="1" customWidth="1"/>
    <col min="15" max="15" width="0" hidden="1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IF(OR(B2&gt;2448/B6,B2&lt;8),LOOKUP(B6,F3:F5,I3:I5),IF(OR(B2&gt;2448/B8,B2&lt;8),LOOKUP(B8,F10:F12,I10:I12),""))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IF(OR(B3&gt;2048/B7,B3&lt;4),LOOKUP(B7,F3:F5,J3:J5),IF(OR(B3&gt;2048/B9,B3&lt;4),LOOKUP(B9,F10:F12,J10:J12),""))</f>
        <v/>
      </c>
      <c r="D3" s="2"/>
      <c r="E3" s="2"/>
      <c r="F3" s="2">
        <v>1</v>
      </c>
      <c r="G3" s="2">
        <v>2448</v>
      </c>
      <c r="H3" s="2">
        <v>2048</v>
      </c>
      <c r="I3" s="2" t="s">
        <v>316</v>
      </c>
      <c r="J3" s="2" t="s">
        <v>317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318</v>
      </c>
      <c r="J4" s="2" t="s">
        <v>319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320</v>
      </c>
      <c r="J5" s="2" t="s">
        <v>321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316</v>
      </c>
      <c r="J10" s="2" t="s">
        <v>317</v>
      </c>
    </row>
    <row r="11" spans="1:10">
      <c r="A11" s="3" t="s">
        <v>168</v>
      </c>
      <c r="B11" s="7">
        <v>10000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2" t="s">
        <v>318</v>
      </c>
      <c r="J11" s="2" t="s">
        <v>319</v>
      </c>
    </row>
    <row r="12" spans="1:10">
      <c r="A12" s="3" t="s">
        <v>199</v>
      </c>
      <c r="B12" s="7">
        <v>0</v>
      </c>
      <c r="C12" s="2"/>
      <c r="D12" s="2"/>
      <c r="E12" s="2"/>
      <c r="F12" s="2">
        <v>4</v>
      </c>
      <c r="G12" s="2">
        <v>608</v>
      </c>
      <c r="H12" s="2">
        <v>512</v>
      </c>
      <c r="I12" s="2" t="s">
        <v>320</v>
      </c>
      <c r="J12" s="2" t="s">
        <v>321</v>
      </c>
    </row>
    <row r="13" spans="1:10">
      <c r="A13" s="3" t="s">
        <v>315</v>
      </c>
      <c r="B13" s="7">
        <v>8</v>
      </c>
      <c r="C13" s="2"/>
      <c r="D13" s="2"/>
      <c r="E13" s="2"/>
      <c r="F13" s="2"/>
      <c r="G13" s="2"/>
      <c r="H13" s="2"/>
      <c r="I13" s="2" t="s">
        <v>194</v>
      </c>
      <c r="J13" s="2"/>
    </row>
    <row r="14" spans="1:10">
      <c r="A14" s="3" t="s">
        <v>170</v>
      </c>
      <c r="B14" s="7">
        <v>300000000</v>
      </c>
      <c r="C14" s="2"/>
      <c r="D14" s="2"/>
      <c r="E14" s="2"/>
      <c r="F14" s="2"/>
      <c r="G14" s="2">
        <v>2448</v>
      </c>
      <c r="H14" s="2">
        <v>2048</v>
      </c>
      <c r="I14" s="2"/>
      <c r="J14" s="2"/>
    </row>
    <row r="15" spans="1:10" hidden="1">
      <c r="A15" s="3"/>
      <c r="B15" s="7"/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171</v>
      </c>
      <c r="B16" s="7">
        <f>IF(B10="Standard",MAX(ROUNDUP((B11-13.73)/B19,0),1),IF(B11&gt;14,ROUNDUP((B11-13.73),0),1))</f>
        <v>1693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172</v>
      </c>
      <c r="B17" s="7" t="str">
        <f>IF((B13&lt;=8),"1","2")</f>
        <v>1</v>
      </c>
      <c r="C17" s="2"/>
      <c r="D17" s="2"/>
      <c r="E17" s="2"/>
      <c r="F17" s="2"/>
      <c r="G17" s="2"/>
      <c r="H17" s="2" t="s">
        <v>210</v>
      </c>
      <c r="I17" s="2">
        <f>IF(B4=2,201.375,265.5)</f>
        <v>265.5</v>
      </c>
      <c r="J17" s="2"/>
    </row>
    <row r="18" spans="1:10" hidden="1">
      <c r="A18" s="3" t="s">
        <v>173</v>
      </c>
      <c r="B18" s="7">
        <f>B2*B3*B17+84</f>
        <v>5013588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3" t="s">
        <v>174</v>
      </c>
      <c r="B19" s="7">
        <f>ROUNDUP(IF(B13=8,I17/45,2*I17/45)*1000,10)/1000</f>
        <v>5.9</v>
      </c>
      <c r="C19" s="5"/>
      <c r="D19" s="2"/>
      <c r="E19" s="2"/>
      <c r="F19" s="2"/>
      <c r="G19" s="2"/>
      <c r="H19" s="2" t="s">
        <v>211</v>
      </c>
      <c r="I19" s="2">
        <f>IF(B10="Standard",ROUNDUP((B16+14)*B19,0)+ROUNDUP(B12/B19,0)*B19,B16+ROUNDUP((B3*B7*B9+38)*B19,0)+10+B12+ROUNDUP(I23,0))</f>
        <v>10072</v>
      </c>
      <c r="J19" s="2"/>
    </row>
    <row r="20" spans="1:10" hidden="1">
      <c r="A20" s="3" t="s">
        <v>175</v>
      </c>
      <c r="B20" s="7">
        <f>IF(B10="Standard",(B3*B7*B9+38)*B19,ROUNDUP((B3*B7*B9+38)*B19,0)+10)</f>
        <v>12307.400000000001</v>
      </c>
      <c r="H20" t="s">
        <v>212</v>
      </c>
      <c r="I20" s="2">
        <f>IF(B10="Standard",ROUNDUP((B3*B7*B9+38)*B19,0),ROUNDUP((B3*B7*B9+38)*B19,0)+10)</f>
        <v>12308</v>
      </c>
    </row>
    <row r="21" spans="1:10">
      <c r="A21" s="3" t="s">
        <v>176</v>
      </c>
      <c r="B21" s="7" t="s">
        <v>177</v>
      </c>
      <c r="H21" s="2" t="s">
        <v>213</v>
      </c>
      <c r="I21">
        <f>IF(B10="Standard",ROUNDUP(MAX(ROUNDUP(B18*1000000/396000000/B19,0),ROUNDUP(B18*1000000/B14/B19,0))*B19,0),MAX(ROUNDUP(B18*1000000/396000000,0),ROUNDUP(B18*1000000/B14,0)))</f>
        <v>16715</v>
      </c>
    </row>
    <row r="22" spans="1:10">
      <c r="A22" s="3" t="s">
        <v>178</v>
      </c>
      <c r="B22" s="7">
        <v>79.099999999999994</v>
      </c>
      <c r="H22" s="2" t="s">
        <v>214</v>
      </c>
      <c r="I22">
        <f>IF(B10="Standard",B19*(IF(B21="off",0,1))*ROUNDUP(1000*1000/(B19*B22),0),(IF(B21="off",0,1))*ROUNDUP(1000*1000/B22,0))</f>
        <v>0</v>
      </c>
    </row>
    <row r="23" spans="1:10" hidden="1">
      <c r="A23" s="6" t="s">
        <v>179</v>
      </c>
      <c r="B23" s="95">
        <f>MAX(I19,I20,I21,I22)</f>
        <v>16715</v>
      </c>
      <c r="H23" s="2" t="s">
        <v>215</v>
      </c>
      <c r="I23">
        <f>IF(AND(B10="UltraShort",B11&lt;=14),14.44,13.73)</f>
        <v>13.73</v>
      </c>
    </row>
    <row r="24" spans="1:10">
      <c r="A24" s="155" t="s">
        <v>180</v>
      </c>
      <c r="B24" s="156"/>
      <c r="C24" s="19" t="str">
        <f>IF(OR(B3&gt;2048/B7,B3&gt;2048/B9,B3&lt;4,B2&gt;2448/B6,B2&gt;2448/B8,B2&lt;8),I6,"")</f>
        <v/>
      </c>
    </row>
    <row r="25" spans="1:10" ht="22.5">
      <c r="A25" s="11" t="s">
        <v>181</v>
      </c>
      <c r="B25" s="12">
        <f>1000000/B23</f>
        <v>59.826503140891418</v>
      </c>
    </row>
  </sheetData>
  <mergeCells count="2">
    <mergeCell ref="A1:B1"/>
    <mergeCell ref="A24:B24"/>
  </mergeCells>
  <phoneticPr fontId="21" type="noConversion"/>
  <conditionalFormatting sqref="B2">
    <cfRule type="cellIs" dxfId="154" priority="6" operator="notBetween">
      <formula>8</formula>
      <formula>$G$14</formula>
    </cfRule>
    <cfRule type="cellIs" dxfId="153" priority="8" operator="notBetween">
      <formula>8</formula>
      <formula>$G$7</formula>
    </cfRule>
  </conditionalFormatting>
  <conditionalFormatting sqref="B3">
    <cfRule type="cellIs" dxfId="152" priority="5" operator="notBetween">
      <formula>4</formula>
      <formula>$H$7</formula>
    </cfRule>
    <cfRule type="cellIs" dxfId="151" priority="7" operator="notBetween">
      <formula>4</formula>
      <formula>$H$14</formula>
    </cfRule>
  </conditionalFormatting>
  <conditionalFormatting sqref="B6">
    <cfRule type="expression" dxfId="150" priority="4">
      <formula>AND(B8&gt;1,B6&gt;1)</formula>
    </cfRule>
  </conditionalFormatting>
  <conditionalFormatting sqref="B7">
    <cfRule type="expression" dxfId="149" priority="2">
      <formula>AND(B7&gt;1,B9&gt;1)</formula>
    </cfRule>
  </conditionalFormatting>
  <conditionalFormatting sqref="B8">
    <cfRule type="expression" dxfId="148" priority="3">
      <formula>AND(B8&gt;1,B6&gt;1)</formula>
    </cfRule>
  </conditionalFormatting>
  <conditionalFormatting sqref="B9">
    <cfRule type="expression" dxfId="147" priority="1">
      <formula>AND(B7&gt;1,B9&gt;1)</formula>
    </cfRule>
  </conditionalFormatting>
  <dataValidations count="12">
    <dataValidation type="list" allowBlank="1" showInputMessage="1" showErrorMessage="1" errorTitle="Input parameter error" error="Input 8 or 12" sqref="B13" xr:uid="{00000000-0002-0000-1500-000000000000}">
      <formula1>"8,12"</formula1>
    </dataValidation>
    <dataValidation type="list" allowBlank="1" showInputMessage="1" showErrorMessage="1" errorTitle="Input parameter error" error="Input parameter error,Input range from 64 to 2048,and is an integer multiple of 2" sqref="B5" xr:uid="{00000000-0002-0000-1500-000001000000}">
      <formula1>"1,2"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500-000002000000}">
      <formula1>AND(MOD(B2,8)=0,B2&gt;=8,B2&lt;=2448/B6)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500-000003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500-000004000000}">
      <formula1>AND(MOD(B3,2)=0,B3&gt;=4,B3&lt;=2048/B7)</formula1>
    </dataValidation>
    <dataValidation type="list" allowBlank="1" showInputMessage="1" showErrorMessage="1" errorTitle="Input parameter error" error="Input range is 1,2" sqref="B4" xr:uid="{00000000-0002-0000-1500-000005000000}">
      <formula1>"1,2"</formula1>
    </dataValidation>
    <dataValidation type="list" allowBlank="1" showInputMessage="1" showErrorMessage="1" errorTitle="Input parameter error" error="Input Standard or UltraShort" sqref="B10" xr:uid="{00000000-0002-0000-1500-000006000000}">
      <formula1>"Standard,UltraShort"</formula1>
    </dataValidation>
    <dataValidation type="whole" allowBlank="1" showInputMessage="1" showErrorMessage="1" error="Exposure delay time range is 0-5000" sqref="B12" xr:uid="{00000000-0002-0000-1500-000007000000}">
      <formula1>0</formula1>
      <formula2>5000</formula2>
    </dataValidation>
    <dataValidation type="list" allowBlank="1" showInputMessage="1" showErrorMessage="1" errorTitle="Input parameter error" error="Input on or off" sqref="B21" xr:uid="{00000000-0002-0000-1500-000008000000}">
      <formula1>"on,off"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4" xr:uid="{00000000-0002-0000-1500-000009000000}">
      <formula1>OR(AND(B13=8,B14&gt;=35000000,B14&lt;=400000000,MOD(B14,1000000)=0),AND(B13=12,B14&gt;=70000000,B14&lt;=400000000,MOD(B14,1000000)=0))</formula1>
    </dataValidation>
    <dataValidation type="custom" allowBlank="1" showInputMessage="1" showErrorMessage="1" errorTitle="Input parameter error" error="Input range from 0.1 to 10000,step 0.1" sqref="B22" xr:uid="{00000000-0002-0000-1500-00000A000000}">
      <formula1>AND(MOD(10*B22,1)=0,B22&gt;=0.1,B22&lt;=10000)</formula1>
    </dataValidation>
    <dataValidation type="list" allowBlank="1" showInputMessage="1" showErrorMessage="1" errorTitle="Input parameter error" error="Input range is 1,2,4" sqref="B6:B9" xr:uid="{00000000-0002-0000-1500-00000B000000}">
      <formula1>"1,2,4"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4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IF(OR(B2&gt;2448/B6,B2&lt;8),LOOKUP(B6,F3:F5,I3:I5),IF(OR(B2&gt;2448/B8,B2&lt;8),LOOKUP(B8,F10:F12,I10:I12),""))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IF(OR(B3&gt;2048/B7,B3&lt;4),LOOKUP(B7,F3:F5,J3:J5),IF(OR(B3&gt;2048/B9,B3&lt;4),LOOKUP(B9,F10:F12,J10:J12),""))</f>
        <v/>
      </c>
      <c r="D3" s="2"/>
      <c r="E3" s="2"/>
      <c r="F3" s="2">
        <v>1</v>
      </c>
      <c r="G3" s="2">
        <v>2448</v>
      </c>
      <c r="H3" s="2">
        <v>2048</v>
      </c>
      <c r="I3" s="2" t="s">
        <v>316</v>
      </c>
      <c r="J3" s="2" t="s">
        <v>317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318</v>
      </c>
      <c r="J4" s="2" t="s">
        <v>319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320</v>
      </c>
      <c r="J5" s="2" t="s">
        <v>321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316</v>
      </c>
      <c r="J10" s="2" t="s">
        <v>317</v>
      </c>
    </row>
    <row r="11" spans="1:10">
      <c r="A11" s="3" t="s">
        <v>168</v>
      </c>
      <c r="B11" s="7">
        <v>10000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2" t="s">
        <v>318</v>
      </c>
      <c r="J11" s="2" t="s">
        <v>319</v>
      </c>
    </row>
    <row r="12" spans="1:10">
      <c r="A12" s="3" t="s">
        <v>169</v>
      </c>
      <c r="B12" s="7">
        <v>8</v>
      </c>
      <c r="C12" s="2"/>
      <c r="D12" s="2"/>
      <c r="E12" s="2"/>
      <c r="F12" s="2">
        <v>4</v>
      </c>
      <c r="G12" s="2">
        <v>608</v>
      </c>
      <c r="H12" s="2">
        <v>512</v>
      </c>
      <c r="I12" s="2" t="s">
        <v>320</v>
      </c>
      <c r="J12" s="2" t="s">
        <v>321</v>
      </c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/>
      <c r="H13" s="2"/>
      <c r="I13" s="2" t="s">
        <v>194</v>
      </c>
      <c r="J13" s="2"/>
    </row>
    <row r="14" spans="1:10" hidden="1">
      <c r="A14" s="3"/>
      <c r="B14" s="7"/>
      <c r="C14" s="2"/>
      <c r="D14" s="2"/>
      <c r="E14" s="2"/>
      <c r="F14" s="2"/>
      <c r="G14" s="2">
        <v>2448</v>
      </c>
      <c r="H14" s="2">
        <v>2048</v>
      </c>
      <c r="I14" s="2"/>
      <c r="J14" s="2"/>
    </row>
    <row r="15" spans="1:10" hidden="1">
      <c r="A15" s="3" t="s">
        <v>171</v>
      </c>
      <c r="B15" s="7">
        <f>IF(B10="Standard",MAX(ROUNDUP((B11-13.73)/B18,0),1),IF(B11&gt;14,ROUNDUP((B11-13.73),0),1))</f>
        <v>1665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172</v>
      </c>
      <c r="B16" s="7" t="str">
        <f>IF((B12&lt;=8),"1","2")</f>
        <v>1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173</v>
      </c>
      <c r="B17" s="7">
        <f>B2*B3*B16+84</f>
        <v>5013588</v>
      </c>
      <c r="C17" s="2"/>
      <c r="D17" s="2"/>
      <c r="E17" s="2"/>
      <c r="F17" s="2"/>
      <c r="G17" s="2"/>
      <c r="H17" s="2" t="s">
        <v>210</v>
      </c>
      <c r="I17" s="2">
        <f>IF(B4=2,135,225)</f>
        <v>225</v>
      </c>
      <c r="J17" s="2"/>
    </row>
    <row r="18" spans="1:10" hidden="1">
      <c r="A18" s="3" t="s">
        <v>174</v>
      </c>
      <c r="B18" s="7">
        <f>ROUNDUP(IF(B12=8,I17/37.5,2*I17/37.5)*1000,10)/1000</f>
        <v>6</v>
      </c>
      <c r="C18" s="2"/>
      <c r="D18" s="2"/>
      <c r="E18" s="2"/>
      <c r="F18" s="2"/>
      <c r="G18" s="2"/>
      <c r="H18" s="2" t="s">
        <v>210</v>
      </c>
      <c r="I18" s="2">
        <f>IF(B5=2,135,225)</f>
        <v>225</v>
      </c>
      <c r="J18" s="2"/>
    </row>
    <row r="19" spans="1:10" hidden="1">
      <c r="A19" s="3" t="s">
        <v>175</v>
      </c>
      <c r="B19" s="7">
        <f>IF(B10="Standard",(B3*B7*B9+38)*B18,ROUNDUP((B3*B7*B9+38)*B18,0)+10)</f>
        <v>12516</v>
      </c>
      <c r="C19" s="5"/>
      <c r="D19" s="2"/>
      <c r="E19" s="2"/>
      <c r="F19" s="2"/>
      <c r="G19" s="2"/>
      <c r="H19" s="2" t="s">
        <v>211</v>
      </c>
      <c r="I19" s="2">
        <f>IF(B10="Standard",ROUNDUP((B15+14)*B18,0),B15+ROUNDUP((B3*B7*B9+38)*B18,0)+10+20)</f>
        <v>10074</v>
      </c>
      <c r="J19" s="2"/>
    </row>
    <row r="20" spans="1:10">
      <c r="A20" s="3" t="s">
        <v>176</v>
      </c>
      <c r="B20" s="7" t="s">
        <v>177</v>
      </c>
      <c r="H20" t="s">
        <v>212</v>
      </c>
      <c r="I20" s="2">
        <f>IF(B10="Standard",ROUNDUP((B3*B7*B9+38)*B18,0),ROUNDUP((B3*B7*B9+38)*B18,0)+10)</f>
        <v>12516</v>
      </c>
    </row>
    <row r="21" spans="1:10">
      <c r="A21" s="3" t="s">
        <v>178</v>
      </c>
      <c r="B21" s="7">
        <v>79.099999999999994</v>
      </c>
      <c r="H21" s="2" t="s">
        <v>213</v>
      </c>
      <c r="I21">
        <f>IF(B10="Standard",ROUNDUP(MAX(ROUNDUP(B17*1000000/397000000/B18,0),ROUNDUP(B17*1000000/B13/B18,0))*B18,0),MAX(ROUNDUP(B17*1000000/397000000,0),ROUNDUP(B17*1000000/B13,0)))</f>
        <v>16716</v>
      </c>
    </row>
    <row r="22" spans="1:10" hidden="1">
      <c r="A22" s="6" t="s">
        <v>179</v>
      </c>
      <c r="B22" s="95">
        <f>MAX(I19,I20,I21,I22)</f>
        <v>16716</v>
      </c>
      <c r="H22" s="2" t="s">
        <v>214</v>
      </c>
      <c r="I22">
        <f>IF(B10="Standard",B18*(IF(B20="off",0,1))*ROUNDUP(1000*1000/(B18*B21),0),(IF(B20="off",0,1))*ROUNDUP(1000*1000/B21,0))</f>
        <v>0</v>
      </c>
    </row>
    <row r="23" spans="1:10">
      <c r="A23" s="155" t="s">
        <v>180</v>
      </c>
      <c r="B23" s="156"/>
    </row>
    <row r="24" spans="1:10" ht="22.5">
      <c r="A24" s="11" t="s">
        <v>181</v>
      </c>
      <c r="B24" s="12">
        <f>1000000/B22</f>
        <v>59.822924144532188</v>
      </c>
      <c r="C24" s="19" t="str">
        <f>IF(OR(B3&gt;2048/B7,B3&gt;2048/B9,B3&lt;4,B2&gt;2448/B6,B2&gt;2448/B8,B2&lt;8),I6,"")</f>
        <v/>
      </c>
    </row>
  </sheetData>
  <sheetProtection algorithmName="SHA-512" hashValue="glyW2mRweLFuTiCAfHXSLM99E2h120t878EhUaoAy+09VT+eD/b1mtEOP16m742S4RhBFvJkT9B/5ET45u/AhQ==" saltValue="gdhbUa8C5NbPjAAdWmhUKg==" spinCount="100000" sheet="1" objects="1" scenarios="1" selectLockedCells="1"/>
  <mergeCells count="2">
    <mergeCell ref="A1:B1"/>
    <mergeCell ref="A23:B23"/>
  </mergeCells>
  <phoneticPr fontId="21" type="noConversion"/>
  <conditionalFormatting sqref="B2">
    <cfRule type="cellIs" dxfId="146" priority="7" operator="notBetween">
      <formula>8</formula>
      <formula>$G$14</formula>
    </cfRule>
    <cfRule type="cellIs" dxfId="145" priority="10" operator="notBetween">
      <formula>8</formula>
      <formula>$G$7</formula>
    </cfRule>
  </conditionalFormatting>
  <conditionalFormatting sqref="B3">
    <cfRule type="cellIs" dxfId="144" priority="6" operator="notBetween">
      <formula>4</formula>
      <formula>$H$7</formula>
    </cfRule>
    <cfRule type="cellIs" dxfId="143" priority="8" operator="notBetween">
      <formula>4</formula>
      <formula>$H$14</formula>
    </cfRule>
  </conditionalFormatting>
  <conditionalFormatting sqref="B6">
    <cfRule type="expression" dxfId="142" priority="5">
      <formula>AND(B8&gt;1,B6&gt;1)</formula>
    </cfRule>
  </conditionalFormatting>
  <conditionalFormatting sqref="B7">
    <cfRule type="expression" dxfId="141" priority="3">
      <formula>AND(B7&gt;1,B9&gt;1)</formula>
    </cfRule>
  </conditionalFormatting>
  <conditionalFormatting sqref="B8">
    <cfRule type="expression" dxfId="140" priority="4">
      <formula>AND(B8&gt;1,B6&gt;1)</formula>
    </cfRule>
  </conditionalFormatting>
  <conditionalFormatting sqref="B9">
    <cfRule type="expression" dxfId="139" priority="2">
      <formula>AND(B7&gt;1,B9&gt;1)</formula>
    </cfRule>
  </conditionalFormatting>
  <dataValidations count="11">
    <dataValidation type="list" allowBlank="1" showInputMessage="1" showErrorMessage="1" errorTitle="Input parameter error" error="Input parameter error,Input range from 64 to 2048,and is an integer multiple of 2" sqref="B5" xr:uid="{00000000-0002-0000-1600-000000000000}">
      <formula1>"1,2"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600-000001000000}">
      <formula1>AND(MOD(B2,8)=0,B2&gt;=8,B2&lt;=2448/B6)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600-000002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600-000003000000}">
      <formula1>AND(MOD(B3,2)=0,B3&gt;=4,B3&lt;=2048/B7)</formula1>
    </dataValidation>
    <dataValidation type="list" allowBlank="1" showInputMessage="1" showErrorMessage="1" errorTitle="Input parameter error" error="Input 8 or 10" sqref="B12" xr:uid="{00000000-0002-0000-1600-000004000000}">
      <formula1>"8,10"</formula1>
    </dataValidation>
    <dataValidation type="list" allowBlank="1" showInputMessage="1" showErrorMessage="1" errorTitle="Input parameter error" error="Input range is 1,2" sqref="B4" xr:uid="{00000000-0002-0000-1600-000005000000}">
      <formula1>"1,2"</formula1>
    </dataValidation>
    <dataValidation type="list" allowBlank="1" showInputMessage="1" showErrorMessage="1" errorTitle="Input parameter error" error="Input Standard or UltraShort" sqref="B10" xr:uid="{00000000-0002-0000-1600-000006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3" xr:uid="{00000000-0002-0000-1600-000007000000}">
      <formula1>OR(AND(B12=8,B13&gt;=35000000,B13&lt;=400000000,MOD(B13,1000000)=0),AND(B12=10,B13&gt;=70000000,B13&lt;=400000000,MOD(B13,1000000)=0))</formula1>
    </dataValidation>
    <dataValidation type="list" allowBlank="1" showInputMessage="1" showErrorMessage="1" errorTitle="Input parameter error" error="Input on or off" sqref="B20" xr:uid="{00000000-0002-0000-1600-000008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1600-000009000000}">
      <formula1>AND(MOD(10*B21,1)=0,B21&gt;=0.1,B21&lt;=10000)</formula1>
    </dataValidation>
    <dataValidation type="list" allowBlank="1" showInputMessage="1" showErrorMessage="1" errorTitle="Input parameter error" error="Input range is 1,2,4" sqref="B6:B9" xr:uid="{00000000-0002-0000-1600-00000A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25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IF(OR(B2&gt;2448/B6,B2&lt;8),LOOKUP(B6,F3:F5,I3:I5),IF(OR(B2&gt;2448/B8,B2&lt;8),LOOKUP(B8,F10:F12,I10:I12),""))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IF(OR(B3&gt;2048/B7,B3&lt;4),LOOKUP(B7,F3:F5,J3:J5),IF(OR(B3&gt;2048/B9,B3&lt;4),LOOKUP(B9,F10:F12,J10:J12),""))</f>
        <v/>
      </c>
      <c r="D3" s="2"/>
      <c r="E3" s="2"/>
      <c r="F3" s="2">
        <v>1</v>
      </c>
      <c r="G3" s="2">
        <v>2448</v>
      </c>
      <c r="H3" s="2">
        <v>2048</v>
      </c>
      <c r="I3" s="2" t="s">
        <v>316</v>
      </c>
      <c r="J3" s="2" t="s">
        <v>317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318</v>
      </c>
      <c r="J4" s="2" t="s">
        <v>319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320</v>
      </c>
      <c r="J5" s="2" t="s">
        <v>321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316</v>
      </c>
      <c r="J10" s="2" t="s">
        <v>317</v>
      </c>
    </row>
    <row r="11" spans="1:10">
      <c r="A11" s="3" t="s">
        <v>168</v>
      </c>
      <c r="B11" s="7">
        <v>10000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2" t="s">
        <v>318</v>
      </c>
      <c r="J11" s="2" t="s">
        <v>319</v>
      </c>
    </row>
    <row r="12" spans="1:10">
      <c r="A12" s="3" t="s">
        <v>199</v>
      </c>
      <c r="B12" s="7">
        <v>0</v>
      </c>
      <c r="C12" s="2"/>
      <c r="D12" s="2"/>
      <c r="E12" s="2"/>
      <c r="F12" s="2">
        <v>4</v>
      </c>
      <c r="G12" s="2">
        <v>608</v>
      </c>
      <c r="H12" s="2">
        <v>512</v>
      </c>
      <c r="I12" s="2" t="s">
        <v>320</v>
      </c>
      <c r="J12" s="2" t="s">
        <v>321</v>
      </c>
    </row>
    <row r="13" spans="1:10">
      <c r="A13" s="3" t="s">
        <v>169</v>
      </c>
      <c r="B13" s="7">
        <v>8</v>
      </c>
      <c r="C13" s="2"/>
      <c r="D13" s="2"/>
      <c r="E13" s="2"/>
      <c r="F13" s="2"/>
      <c r="G13" s="2"/>
      <c r="H13" s="2"/>
      <c r="I13" s="2" t="s">
        <v>194</v>
      </c>
      <c r="J13" s="2"/>
    </row>
    <row r="14" spans="1:10">
      <c r="A14" s="3" t="s">
        <v>170</v>
      </c>
      <c r="B14" s="7">
        <v>300000000</v>
      </c>
      <c r="C14" s="2"/>
      <c r="D14" s="2"/>
      <c r="E14" s="2"/>
      <c r="F14" s="2"/>
      <c r="G14" s="2">
        <v>2448</v>
      </c>
      <c r="H14" s="2">
        <v>2048</v>
      </c>
      <c r="I14" s="2"/>
      <c r="J14" s="2"/>
    </row>
    <row r="15" spans="1:10" hidden="1">
      <c r="A15" s="3"/>
      <c r="B15" s="7"/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171</v>
      </c>
      <c r="B16" s="7">
        <f>IF(B10="Standard",MAX(ROUNDUP((B11-13.73)/B19,0),1),IF(B11&gt;14,ROUNDUP((B11-13.73),0),1))</f>
        <v>2018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172</v>
      </c>
      <c r="B17" s="7" t="str">
        <f>IF((B13&lt;=8),"1","2")</f>
        <v>1</v>
      </c>
      <c r="C17" s="2"/>
      <c r="D17" s="2"/>
      <c r="E17" s="2"/>
      <c r="F17" s="2"/>
      <c r="G17" s="2"/>
      <c r="H17" s="2" t="s">
        <v>210</v>
      </c>
      <c r="I17" s="2">
        <f>IF(B4=2,137.25,222.75)</f>
        <v>222.75</v>
      </c>
      <c r="J17" s="2"/>
    </row>
    <row r="18" spans="1:10" hidden="1">
      <c r="A18" s="3" t="s">
        <v>173</v>
      </c>
      <c r="B18" s="7">
        <f>B2*B3*B17+84</f>
        <v>5013588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3" t="s">
        <v>174</v>
      </c>
      <c r="B19" s="7">
        <f>ROUNDUP(IF(B13=8,I17/45,2*I17/45)*1000,10)/1000</f>
        <v>4.95</v>
      </c>
      <c r="C19" s="5"/>
      <c r="D19" s="2"/>
      <c r="E19" s="2"/>
      <c r="F19" s="2"/>
      <c r="G19" s="2"/>
      <c r="H19" s="2" t="s">
        <v>211</v>
      </c>
      <c r="I19" s="2">
        <f>IF(B10="Standard",ROUNDUP((B16+14)*B19,0)+ROUNDUP(B12/B19,0)*B19,B16+ROUNDUP((B3*B7*B9+38)*B19,0)+10+B12+ROUNDUP(I23,0))</f>
        <v>10059</v>
      </c>
      <c r="J19" s="2"/>
    </row>
    <row r="20" spans="1:10" hidden="1">
      <c r="A20" s="3" t="s">
        <v>175</v>
      </c>
      <c r="B20" s="7">
        <f>IF(B10="Standard",(B3*B7*B9+38)*B19,ROUNDUP((B3*B7*B9+38)*B19,0)+10)</f>
        <v>10325.700000000001</v>
      </c>
      <c r="H20" t="s">
        <v>212</v>
      </c>
      <c r="I20" s="2">
        <f>IF(B10="Standard",ROUNDUP((B3*B7*B9+38)*B19,0),ROUNDUP((B3*B7*B9+38)*B19,0)+10)</f>
        <v>10326</v>
      </c>
    </row>
    <row r="21" spans="1:10">
      <c r="A21" s="3" t="s">
        <v>176</v>
      </c>
      <c r="B21" s="7" t="s">
        <v>177</v>
      </c>
      <c r="H21" s="2" t="s">
        <v>213</v>
      </c>
      <c r="I21">
        <f>IF(B10="Standard",ROUNDUP(MAX(ROUNDUP(B18*1000000/397000000/B19,0),ROUNDUP(B18*1000000/B14/B19,0))*B19,0),MAX(ROUNDUP(B18*1000000/397000000,0),ROUNDUP(B18*1000000/B14,0)))</f>
        <v>16717</v>
      </c>
    </row>
    <row r="22" spans="1:10">
      <c r="A22" s="3" t="s">
        <v>178</v>
      </c>
      <c r="B22" s="7">
        <v>79.099999999999994</v>
      </c>
      <c r="H22" s="2" t="s">
        <v>214</v>
      </c>
      <c r="I22">
        <f>IF(B10="Standard",B19*(IF(B21="off",0,1))*ROUNDUP(1000*1000/(B19*B22),0),(IF(B21="off",0,1))*ROUNDUP(1000*1000/B22,0))</f>
        <v>0</v>
      </c>
    </row>
    <row r="23" spans="1:10" hidden="1">
      <c r="A23" s="6" t="s">
        <v>179</v>
      </c>
      <c r="B23" s="95">
        <f>MAX(I19,I20,I21,I22)</f>
        <v>16717</v>
      </c>
      <c r="H23" s="2" t="s">
        <v>215</v>
      </c>
      <c r="I23">
        <f>IF(AND(B10="UltraShort",B11&lt;=14),14.44,13.73)</f>
        <v>13.73</v>
      </c>
    </row>
    <row r="24" spans="1:10">
      <c r="A24" s="155" t="s">
        <v>180</v>
      </c>
      <c r="B24" s="156"/>
      <c r="C24" s="19" t="str">
        <f>IF(OR(B3&gt;2048/B7,B3&gt;2048/B9,B3&lt;4,B2&gt;2448/B6,B2&gt;2448/B8,B2&lt;8),I6,"")</f>
        <v/>
      </c>
    </row>
    <row r="25" spans="1:10" ht="22.5">
      <c r="A25" s="11" t="s">
        <v>181</v>
      </c>
      <c r="B25" s="12">
        <f>1000000/B23</f>
        <v>59.819345576359396</v>
      </c>
    </row>
  </sheetData>
  <sheetProtection algorithmName="SHA-512" hashValue="x1QTFbxeEowd0I9Oqf2j7yEhlBwTPzTX/rtfsUyStnCYy8YvSoWZd/R6xo1O/OlxpvPd67DOWxws/OS1xCL9WQ==" saltValue="qD5khHbydmrT5/J4D6fW3Q==" spinCount="100000" sheet="1" objects="1" scenarios="1" selectLockedCells="1"/>
  <mergeCells count="2">
    <mergeCell ref="A1:B1"/>
    <mergeCell ref="A24:B24"/>
  </mergeCells>
  <phoneticPr fontId="21" type="noConversion"/>
  <conditionalFormatting sqref="B2">
    <cfRule type="cellIs" dxfId="138" priority="6" operator="notBetween">
      <formula>8</formula>
      <formula>$G$14</formula>
    </cfRule>
    <cfRule type="cellIs" dxfId="137" priority="8" operator="notBetween">
      <formula>8</formula>
      <formula>$G$7</formula>
    </cfRule>
  </conditionalFormatting>
  <conditionalFormatting sqref="B3">
    <cfRule type="cellIs" dxfId="136" priority="5" operator="notBetween">
      <formula>4</formula>
      <formula>$H$7</formula>
    </cfRule>
    <cfRule type="cellIs" dxfId="135" priority="7" operator="notBetween">
      <formula>4</formula>
      <formula>$H$14</formula>
    </cfRule>
  </conditionalFormatting>
  <conditionalFormatting sqref="B6">
    <cfRule type="expression" dxfId="134" priority="4">
      <formula>AND(B8&gt;1,B6&gt;1)</formula>
    </cfRule>
  </conditionalFormatting>
  <conditionalFormatting sqref="B7">
    <cfRule type="expression" dxfId="133" priority="2">
      <formula>AND(B7&gt;1,B9&gt;1)</formula>
    </cfRule>
  </conditionalFormatting>
  <conditionalFormatting sqref="B8">
    <cfRule type="expression" dxfId="132" priority="3">
      <formula>AND(B8&gt;1,B6&gt;1)</formula>
    </cfRule>
  </conditionalFormatting>
  <conditionalFormatting sqref="B9">
    <cfRule type="expression" dxfId="131" priority="1">
      <formula>AND(B7&gt;1,B9&gt;1)</formula>
    </cfRule>
  </conditionalFormatting>
  <dataValidations count="12">
    <dataValidation type="list" allowBlank="1" showInputMessage="1" showErrorMessage="1" errorTitle="Input parameter error" error="Input parameter error,Input range from 64 to 2048,and is an integer multiple of 2" sqref="B5" xr:uid="{00000000-0002-0000-1700-000000000000}">
      <formula1>"1,2"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700-000001000000}">
      <formula1>AND(MOD(B2,8)=0,B2&gt;=8,B2&lt;=2448/B6)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700-000002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700-000003000000}">
      <formula1>AND(MOD(B3,2)=0,B3&gt;=4,B3&lt;=2048/B7)</formula1>
    </dataValidation>
    <dataValidation type="list" allowBlank="1" showInputMessage="1" showErrorMessage="1" errorTitle="Input parameter error" error="Input 8 or 10" sqref="B13" xr:uid="{00000000-0002-0000-1700-000004000000}">
      <formula1>"8,10"</formula1>
    </dataValidation>
    <dataValidation type="list" allowBlank="1" showInputMessage="1" showErrorMessage="1" errorTitle="Input parameter error" error="Input range is 1,2" sqref="B4" xr:uid="{00000000-0002-0000-1700-000005000000}">
      <formula1>"1,2"</formula1>
    </dataValidation>
    <dataValidation type="list" allowBlank="1" showInputMessage="1" showErrorMessage="1" errorTitle="Input parameter error" error="Input Standard or UltraShort" sqref="B10" xr:uid="{00000000-0002-0000-1700-000006000000}">
      <formula1>"Standard,UltraShort"</formula1>
    </dataValidation>
    <dataValidation type="whole" allowBlank="1" showInputMessage="1" showErrorMessage="1" error="Exposure delay time range is 0-5000" sqref="B12" xr:uid="{00000000-0002-0000-1700-000007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4" xr:uid="{00000000-0002-0000-1700-000008000000}">
      <formula1>OR(AND(B13=8,B14&gt;=35000000,B14&lt;=400000000,MOD(B14,1000000)=0),AND(B13=10,B14&gt;=70000000,B14&lt;=400000000,MOD(B14,1000000)=0))</formula1>
    </dataValidation>
    <dataValidation type="list" allowBlank="1" showInputMessage="1" showErrorMessage="1" errorTitle="Input parameter error" error="Input on or off" sqref="B21" xr:uid="{00000000-0002-0000-1700-000009000000}">
      <formula1>"on,off"</formula1>
    </dataValidation>
    <dataValidation type="custom" allowBlank="1" showInputMessage="1" showErrorMessage="1" errorTitle="Input parameter error" error="Input range from 0.1 to 10000,step 0.1" sqref="B22" xr:uid="{00000000-0002-0000-1700-00000A000000}">
      <formula1>AND(MOD(10*B22,1)=0,B22&gt;=0.1,B22&lt;=10000)</formula1>
    </dataValidation>
    <dataValidation type="list" allowBlank="1" showInputMessage="1" showErrorMessage="1" errorTitle="Input parameter error" error="Input range is 1,2,4" sqref="B6:B9" xr:uid="{00000000-0002-0000-1700-00000B000000}">
      <formula1>"1,2,4"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24"/>
  <sheetViews>
    <sheetView workbookViewId="0">
      <selection activeCell="C32" sqref="C3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hidden="1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IF(OR(B2&gt;2448/B6,B2&lt;8),LOOKUP(B6,F3:F5,I3:I5),IF(OR(B2&gt;2448/B8,B2&lt;8),LOOKUP(B8,F10:F12,I10:I12),""))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IF(OR(B3&gt;2048/B7,B3&lt;4),LOOKUP(B7,F3:F5,J3:J5),IF(OR(B3&gt;2048/B9,B3&lt;4),LOOKUP(B9,F10:F12,J10:J12),""))</f>
        <v/>
      </c>
      <c r="D3" s="2"/>
      <c r="E3" s="2"/>
      <c r="F3" s="2">
        <v>1</v>
      </c>
      <c r="G3" s="2">
        <v>2448</v>
      </c>
      <c r="H3" s="2">
        <v>2048</v>
      </c>
      <c r="I3" s="2" t="s">
        <v>316</v>
      </c>
      <c r="J3" s="2" t="s">
        <v>317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318</v>
      </c>
      <c r="J4" s="2" t="s">
        <v>319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320</v>
      </c>
      <c r="J5" s="2" t="s">
        <v>321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316</v>
      </c>
      <c r="J10" s="2" t="s">
        <v>317</v>
      </c>
    </row>
    <row r="11" spans="1:10">
      <c r="A11" s="3" t="s">
        <v>168</v>
      </c>
      <c r="B11" s="7">
        <v>20000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2" t="s">
        <v>318</v>
      </c>
      <c r="J11" s="2" t="s">
        <v>319</v>
      </c>
    </row>
    <row r="12" spans="1:10">
      <c r="A12" s="3" t="s">
        <v>169</v>
      </c>
      <c r="B12" s="7">
        <v>8</v>
      </c>
      <c r="C12" s="2"/>
      <c r="D12" s="2"/>
      <c r="E12" s="2"/>
      <c r="F12" s="2">
        <v>4</v>
      </c>
      <c r="G12" s="2">
        <v>608</v>
      </c>
      <c r="H12" s="2">
        <v>512</v>
      </c>
      <c r="I12" s="2" t="s">
        <v>320</v>
      </c>
      <c r="J12" s="2" t="s">
        <v>321</v>
      </c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/>
      <c r="H13" s="2"/>
      <c r="I13" s="2" t="s">
        <v>194</v>
      </c>
      <c r="J13" s="2"/>
    </row>
    <row r="14" spans="1:10" hidden="1">
      <c r="A14" s="3"/>
      <c r="B14" s="7"/>
      <c r="C14" s="2"/>
      <c r="D14" s="2"/>
      <c r="E14" s="2"/>
      <c r="F14" s="2"/>
      <c r="G14" s="2">
        <v>2448</v>
      </c>
      <c r="H14" s="2">
        <v>2048</v>
      </c>
      <c r="I14" s="2"/>
      <c r="J14" s="2"/>
    </row>
    <row r="15" spans="1:10" hidden="1">
      <c r="A15" s="3" t="s">
        <v>171</v>
      </c>
      <c r="B15" s="7">
        <f>IF(B10="Standard",MAX(ROUNDUP((B11-13.73)/B18,0),1),IF(B11&gt;14,ROUNDUP((B11-13.73),0),1))</f>
        <v>1503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172</v>
      </c>
      <c r="B16" s="7" t="str">
        <f>IF((B12&lt;=8),"1","2")</f>
        <v>1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173</v>
      </c>
      <c r="B17" s="7">
        <f>B2*B3*B16+84</f>
        <v>5013588</v>
      </c>
      <c r="C17" s="2"/>
      <c r="D17" s="2"/>
      <c r="E17" s="2"/>
      <c r="F17" s="2"/>
      <c r="G17" s="2"/>
      <c r="H17" s="2" t="s">
        <v>210</v>
      </c>
      <c r="I17" s="2">
        <f>IF(B4=2,405,498.75)</f>
        <v>498.75</v>
      </c>
      <c r="J17" s="2"/>
    </row>
    <row r="18" spans="1:10" hidden="1">
      <c r="A18" s="3" t="s">
        <v>174</v>
      </c>
      <c r="B18" s="7">
        <f>ROUNDUP(I17/37.5*1000,10)/1000</f>
        <v>13.3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3" t="s">
        <v>175</v>
      </c>
      <c r="B19" s="7">
        <f>IF(B10="Standard",(B3*B7*B9+38)*B18,ROUNDUP((B3*B7*B9+38)*B18,0)+10)</f>
        <v>27743.800000000003</v>
      </c>
      <c r="C19" s="5"/>
      <c r="D19" s="2"/>
      <c r="E19" s="2"/>
      <c r="F19" s="2"/>
      <c r="G19" s="2"/>
      <c r="H19" s="2" t="s">
        <v>211</v>
      </c>
      <c r="I19" s="2">
        <f>IF(B10="Standard",ROUNDUP((B15+12)*B18,0),B15+ROUNDUP((B3*B7*B9+32)*B18,0)+10+20)</f>
        <v>20150</v>
      </c>
      <c r="J19" s="2"/>
    </row>
    <row r="20" spans="1:10">
      <c r="A20" s="3" t="s">
        <v>176</v>
      </c>
      <c r="B20" s="7" t="s">
        <v>177</v>
      </c>
      <c r="H20" t="s">
        <v>212</v>
      </c>
      <c r="I20" s="2">
        <f>IF(B10="Standard",ROUNDUP((B3*B7*B9+32)*B18,0),ROUNDUP((B3*B7*B9+32)*B18,0)+10)</f>
        <v>27664</v>
      </c>
    </row>
    <row r="21" spans="1:10">
      <c r="A21" s="3" t="s">
        <v>178</v>
      </c>
      <c r="B21" s="7">
        <v>36</v>
      </c>
      <c r="H21" s="2" t="s">
        <v>213</v>
      </c>
      <c r="I21">
        <f>IF(B10="Standard",ROUNDUP(ROUNDUP(B17*1000000/B13/B18,0)*B18,0),ROUNDUP(B17*1000000/B13,0))</f>
        <v>16719</v>
      </c>
    </row>
    <row r="22" spans="1:10" hidden="1">
      <c r="A22" s="6" t="s">
        <v>179</v>
      </c>
      <c r="B22" s="95">
        <f>MAX(I19,I20,I21,I22)</f>
        <v>27664</v>
      </c>
      <c r="H22" s="2" t="s">
        <v>214</v>
      </c>
      <c r="I22">
        <f>IF(B10="Standard",B18*(IF(B20="off",0,1))*ROUNDUP(1000*1000/(B18*B21),0),(IF(B20="off",0,1))*ROUNDUP(1000*1000/B21,0))</f>
        <v>0</v>
      </c>
    </row>
    <row r="23" spans="1:10">
      <c r="A23" s="155" t="s">
        <v>180</v>
      </c>
      <c r="B23" s="156"/>
    </row>
    <row r="24" spans="1:10" ht="22.5">
      <c r="A24" s="11" t="s">
        <v>181</v>
      </c>
      <c r="B24" s="12">
        <f>1000000/B22</f>
        <v>36.148062463851936</v>
      </c>
      <c r="C24" s="19" t="str">
        <f>IF(OR(B3&gt;2048/B7,B3&gt;2048/B9,B3&lt;4,B2&gt;2448/B6,B2&gt;2448/B8,B2&lt;8),I6,"")</f>
        <v/>
      </c>
    </row>
  </sheetData>
  <sheetProtection algorithmName="SHA-512" hashValue="NIpcva7+vMJ4pefYhIKxkZRwkgGl8V1CoMiCxh8UTbJcpUi0sp87x0sMFLhEJVw6yCexN0nIuJpygdeeSv1Vkw==" saltValue="/cHu5b7m+PQGMiX4UtqwLw==" spinCount="100000" sheet="1" objects="1" scenarios="1"/>
  <mergeCells count="2">
    <mergeCell ref="A1:B1"/>
    <mergeCell ref="A23:B23"/>
  </mergeCells>
  <phoneticPr fontId="21" type="noConversion"/>
  <conditionalFormatting sqref="B2">
    <cfRule type="cellIs" dxfId="130" priority="6" operator="notBetween">
      <formula>8</formula>
      <formula>$G$14</formula>
    </cfRule>
    <cfRule type="cellIs" dxfId="129" priority="8" operator="notBetween">
      <formula>8</formula>
      <formula>$G$7</formula>
    </cfRule>
  </conditionalFormatting>
  <conditionalFormatting sqref="B3">
    <cfRule type="cellIs" dxfId="128" priority="5" operator="notBetween">
      <formula>4</formula>
      <formula>$H$7</formula>
    </cfRule>
    <cfRule type="cellIs" dxfId="127" priority="7" operator="notBetween">
      <formula>4</formula>
      <formula>$H$14</formula>
    </cfRule>
  </conditionalFormatting>
  <conditionalFormatting sqref="B6">
    <cfRule type="expression" dxfId="126" priority="4">
      <formula>AND(B8&gt;1,B6&gt;1)</formula>
    </cfRule>
  </conditionalFormatting>
  <conditionalFormatting sqref="B7">
    <cfRule type="expression" dxfId="125" priority="2">
      <formula>AND(B7&gt;1,B9&gt;1)</formula>
    </cfRule>
  </conditionalFormatting>
  <conditionalFormatting sqref="B8">
    <cfRule type="expression" dxfId="124" priority="3">
      <formula>AND(B8&gt;1,B6&gt;1)</formula>
    </cfRule>
  </conditionalFormatting>
  <conditionalFormatting sqref="B9">
    <cfRule type="expression" dxfId="123" priority="1">
      <formula>AND(B7&gt;1,B9&gt;1)</formula>
    </cfRule>
  </conditionalFormatting>
  <dataValidations count="11">
    <dataValidation type="list" allowBlank="1" showInputMessage="1" showErrorMessage="1" errorTitle="Input parameter error" error="Input parameter error,Input range from 64 to 2048,and is an integer multiple of 2" sqref="B5" xr:uid="{00000000-0002-0000-1800-000000000000}">
      <formula1>"1,2"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800-000001000000}">
      <formula1>AND(MOD(B2,8)=0,B2&gt;=8,B2&lt;=2448/B6)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800-000002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800-000003000000}">
      <formula1>AND(MOD(B3,2)=0,B3&gt;=4,B3&lt;=2048/B7)</formula1>
    </dataValidation>
    <dataValidation type="list" allowBlank="1" showInputMessage="1" showErrorMessage="1" errorTitle="Input parameter error" error="Input 8 or 10" sqref="B12" xr:uid="{00000000-0002-0000-1800-000004000000}">
      <formula1>"8,10"</formula1>
    </dataValidation>
    <dataValidation type="list" allowBlank="1" showInputMessage="1" showErrorMessage="1" errorTitle="Input parameter error" error="Input range is 1,2" sqref="B4" xr:uid="{00000000-0002-0000-1800-000005000000}">
      <formula1>"1,2"</formula1>
    </dataValidation>
    <dataValidation type="list" allowBlank="1" showInputMessage="1" showErrorMessage="1" errorTitle="Input parameter error" error="Input Standard or UltraShort" sqref="B10" xr:uid="{00000000-0002-0000-1800-000006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3" xr:uid="{00000000-0002-0000-1800-000007000000}">
      <formula1>OR(AND(B12=8,B13&gt;=35000000,B13&lt;=400000000,MOD(B13,1000000)=0),AND(B12=10,B13&gt;=70000000,B13&lt;=400000000,MOD(B13,1000000)=0))</formula1>
    </dataValidation>
    <dataValidation type="list" allowBlank="1" showInputMessage="1" showErrorMessage="1" errorTitle="Input parameter error" error="Input on or off" sqref="B20" xr:uid="{00000000-0002-0000-1800-000008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1800-000009000000}">
      <formula1>AND(MOD(10*B21,1)=0,B21&gt;=0.1,B21&lt;=10000)</formula1>
    </dataValidation>
    <dataValidation type="list" allowBlank="1" showInputMessage="1" showErrorMessage="1" errorTitle="Input parameter error" error="Input range is 1,2,4" sqref="B6:B9" xr:uid="{00000000-0002-0000-1800-00000A000000}">
      <formula1>"1,2,4"</formula1>
    </dataValidation>
  </dataValidations>
  <pageMargins left="0.7" right="0.7" top="0.75" bottom="0.75" header="0.3" footer="0.3"/>
  <pageSetup orientation="portrait" horizontalDpi="200" verticalDpi="20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27"/>
  <sheetViews>
    <sheetView workbookViewId="0">
      <selection activeCell="C23" sqref="C23"/>
    </sheetView>
  </sheetViews>
  <sheetFormatPr defaultColWidth="8.85546875" defaultRowHeight="15"/>
  <cols>
    <col min="1" max="1" width="40.5703125" style="2" customWidth="1"/>
    <col min="2" max="2" width="15.42578125" style="2" customWidth="1"/>
    <col min="3" max="5" width="8.85546875" style="2"/>
    <col min="6" max="6" width="8.85546875" style="2" customWidth="1"/>
    <col min="7" max="7" width="21.42578125" style="2" hidden="1" customWidth="1"/>
    <col min="8" max="8" width="23.42578125" style="2" hidden="1" customWidth="1"/>
    <col min="9" max="9" width="8.85546875" style="2" hidden="1" customWidth="1"/>
    <col min="10" max="10" width="15.140625" style="2" customWidth="1"/>
    <col min="11" max="16384" width="8.85546875" style="2"/>
  </cols>
  <sheetData>
    <row r="1" spans="1:9">
      <c r="A1" s="153" t="s">
        <v>165</v>
      </c>
      <c r="B1" s="154"/>
      <c r="G1" s="161" t="s">
        <v>263</v>
      </c>
      <c r="H1" s="162"/>
      <c r="I1" s="163"/>
    </row>
    <row r="2" spans="1:9">
      <c r="A2" s="96" t="s">
        <v>264</v>
      </c>
      <c r="B2" s="4">
        <v>2592</v>
      </c>
      <c r="G2" s="97" t="s">
        <v>166</v>
      </c>
      <c r="H2" s="97">
        <v>2592</v>
      </c>
      <c r="I2" s="97"/>
    </row>
    <row r="3" spans="1:9">
      <c r="A3" s="96" t="s">
        <v>265</v>
      </c>
      <c r="B3" s="4">
        <v>1944</v>
      </c>
      <c r="G3" s="97" t="s">
        <v>167</v>
      </c>
      <c r="H3" s="97">
        <f>B3</f>
        <v>1944</v>
      </c>
      <c r="I3" s="97"/>
    </row>
    <row r="4" spans="1:9">
      <c r="A4" s="3" t="s">
        <v>168</v>
      </c>
      <c r="B4" s="7">
        <v>20000</v>
      </c>
      <c r="G4" s="161" t="s">
        <v>266</v>
      </c>
      <c r="H4" s="162"/>
      <c r="I4" s="163"/>
    </row>
    <row r="5" spans="1:9">
      <c r="A5" s="3" t="s">
        <v>169</v>
      </c>
      <c r="B5" s="7">
        <v>8</v>
      </c>
      <c r="G5" s="97" t="s">
        <v>166</v>
      </c>
      <c r="H5" s="97">
        <v>2592</v>
      </c>
      <c r="I5" s="97"/>
    </row>
    <row r="6" spans="1:9">
      <c r="A6" s="3" t="s">
        <v>170</v>
      </c>
      <c r="B6" s="7">
        <v>200000000</v>
      </c>
      <c r="G6" s="97" t="s">
        <v>167</v>
      </c>
      <c r="H6" s="97">
        <f>IF(H3&gt;=372,H3,372)</f>
        <v>1944</v>
      </c>
      <c r="I6" s="97"/>
    </row>
    <row r="7" spans="1:9" hidden="1">
      <c r="A7" s="3"/>
      <c r="B7" s="7"/>
      <c r="G7" s="161"/>
      <c r="H7" s="162"/>
      <c r="I7" s="163"/>
    </row>
    <row r="8" spans="1:9">
      <c r="A8" s="3" t="s">
        <v>267</v>
      </c>
      <c r="B8" s="7" t="s">
        <v>177</v>
      </c>
      <c r="G8" s="97" t="s">
        <v>268</v>
      </c>
      <c r="H8" s="97">
        <f>IF(B5=8,1,2)*ROUNDUP(510*(10^6/37500),0)</f>
        <v>13600</v>
      </c>
      <c r="I8" s="97" t="s">
        <v>269</v>
      </c>
    </row>
    <row r="9" spans="1:9">
      <c r="A9" s="3" t="s">
        <v>176</v>
      </c>
      <c r="B9" s="7" t="s">
        <v>177</v>
      </c>
      <c r="G9" s="97" t="s">
        <v>270</v>
      </c>
      <c r="H9" s="97">
        <v>0</v>
      </c>
      <c r="I9" s="97" t="s">
        <v>271</v>
      </c>
    </row>
    <row r="10" spans="1:9">
      <c r="A10" s="3" t="s">
        <v>178</v>
      </c>
      <c r="B10" s="7">
        <v>36.9</v>
      </c>
      <c r="G10" s="97" t="s">
        <v>272</v>
      </c>
      <c r="H10" s="97">
        <v>32</v>
      </c>
      <c r="I10" s="97" t="s">
        <v>268</v>
      </c>
    </row>
    <row r="11" spans="1:9" hidden="1">
      <c r="A11" s="6" t="s">
        <v>172</v>
      </c>
      <c r="B11" s="95" t="str">
        <f>IF((B5&lt;=8),"1","2")</f>
        <v>1</v>
      </c>
      <c r="G11" s="97" t="s">
        <v>273</v>
      </c>
      <c r="H11" s="97">
        <v>21</v>
      </c>
      <c r="I11" s="97" t="s">
        <v>268</v>
      </c>
    </row>
    <row r="12" spans="1:9" hidden="1">
      <c r="A12" s="6" t="s">
        <v>173</v>
      </c>
      <c r="B12" s="95">
        <f>H15</f>
        <v>5038932</v>
      </c>
      <c r="G12" s="97" t="s">
        <v>274</v>
      </c>
      <c r="H12" s="97">
        <v>32</v>
      </c>
      <c r="I12" s="97" t="s">
        <v>268</v>
      </c>
    </row>
    <row r="13" spans="1:9" hidden="1">
      <c r="A13" s="6" t="s">
        <v>174</v>
      </c>
      <c r="B13" s="95">
        <f>H8</f>
        <v>13600</v>
      </c>
      <c r="G13" s="97" t="s">
        <v>275</v>
      </c>
      <c r="H13" s="97">
        <v>48</v>
      </c>
      <c r="I13" s="97" t="s">
        <v>268</v>
      </c>
    </row>
    <row r="14" spans="1:9" hidden="1">
      <c r="A14" s="6" t="s">
        <v>175</v>
      </c>
      <c r="B14" s="95">
        <f>B15</f>
        <v>27091200</v>
      </c>
      <c r="G14" s="97" t="s">
        <v>276</v>
      </c>
      <c r="H14" s="97">
        <v>5</v>
      </c>
      <c r="I14" s="97" t="s">
        <v>268</v>
      </c>
    </row>
    <row r="15" spans="1:9" hidden="1">
      <c r="A15" s="6" t="s">
        <v>179</v>
      </c>
      <c r="B15" s="95">
        <f>H22</f>
        <v>27091200</v>
      </c>
      <c r="G15" s="97" t="s">
        <v>277</v>
      </c>
      <c r="H15" s="97">
        <f>IF(B5=8,1,2)*B2*B3+84</f>
        <v>5038932</v>
      </c>
      <c r="I15" s="97" t="s">
        <v>278</v>
      </c>
    </row>
    <row r="16" spans="1:9">
      <c r="A16" s="155" t="s">
        <v>180</v>
      </c>
      <c r="B16" s="156"/>
      <c r="G16" s="161"/>
      <c r="H16" s="162"/>
      <c r="I16" s="163"/>
    </row>
    <row r="17" spans="1:9" ht="22.5">
      <c r="A17" s="11" t="s">
        <v>181</v>
      </c>
      <c r="B17" s="12">
        <f>1000000000/B15</f>
        <v>36.91235530356721</v>
      </c>
      <c r="G17" s="97" t="s">
        <v>279</v>
      </c>
      <c r="H17" s="97">
        <f>H10+MAX(H6+H13-H10,2+H11+ROUNDUP(1000*H9/H8,0))</f>
        <v>1992</v>
      </c>
      <c r="I17" s="97" t="s">
        <v>268</v>
      </c>
    </row>
    <row r="18" spans="1:9">
      <c r="G18" s="97" t="s">
        <v>280</v>
      </c>
      <c r="H18" s="97">
        <f>ROUNDUP(1000*B4/H8,0)+(H14)</f>
        <v>1476</v>
      </c>
      <c r="I18" s="97" t="s">
        <v>268</v>
      </c>
    </row>
    <row r="19" spans="1:9">
      <c r="G19" s="97" t="s">
        <v>281</v>
      </c>
      <c r="H19" s="97">
        <f>IF(B9="ON",IF(B8="ON",ROUNDUP(((10^9/B10)-((H10+H14+H26)*H25))/H8+(H10+H14+H26),0),ROUNDUP(10^9/(B10*H8),0)),0)</f>
        <v>0</v>
      </c>
      <c r="I19" s="97" t="s">
        <v>268</v>
      </c>
    </row>
    <row r="20" spans="1:9">
      <c r="G20" s="97" t="s">
        <v>282</v>
      </c>
      <c r="H20" s="97">
        <f>IF((B8="on"),ROUNDUP(((H15/MIN(200000000,B6))*10^9-((H10+H14+H26)*H25))/H8+(H10+H14+H26),0),ROUNDUP(H15/MIN(200000000,B6)*10^9/H8,0))</f>
        <v>1853</v>
      </c>
      <c r="I20" s="97" t="s">
        <v>268</v>
      </c>
    </row>
    <row r="21" spans="1:9">
      <c r="G21" s="97" t="s">
        <v>283</v>
      </c>
      <c r="H21" s="97">
        <f>IF(B8="OFF",(H17+H18+2*H12),(H17+H18+H26+(2*H12)))</f>
        <v>3532</v>
      </c>
      <c r="I21" s="97" t="s">
        <v>268</v>
      </c>
    </row>
    <row r="22" spans="1:9">
      <c r="G22" s="97" t="s">
        <v>284</v>
      </c>
      <c r="H22" s="97">
        <f>IF(B8="off",(ROUNDUP(MAX(H17,H18,H19,H20)*H8,0)),(ROUNDUP(MAX(H23,((H19-H10-H14-H26)*H8+(H10+H14+H26)*H25),(H20-H10-H14-H26)*H8+(H10+H14+H26)*H25),0)))</f>
        <v>27091200</v>
      </c>
      <c r="I22" s="97" t="s">
        <v>269</v>
      </c>
    </row>
    <row r="23" spans="1:9">
      <c r="G23" s="97" t="s">
        <v>322</v>
      </c>
      <c r="H23" s="97" t="str">
        <f>IF(B8="OFF","-",IF(H27=0,ROUNDUP(((H17-H10+H18-H14)*H8+((2*H12)+H10+H14+H26)*H25),0),ROUNDUP((((2*H12)+H17-H10+H18-H14)*H8+(H10+H14+H26)*H25),0)))</f>
        <v>-</v>
      </c>
      <c r="I23" s="97" t="s">
        <v>269</v>
      </c>
    </row>
    <row r="24" spans="1:9">
      <c r="G24" s="161"/>
      <c r="H24" s="162"/>
      <c r="I24" s="163"/>
    </row>
    <row r="25" spans="1:9">
      <c r="G25" s="97" t="s">
        <v>323</v>
      </c>
      <c r="H25" s="97">
        <f>ROUNDUP(510*(10^6/37500),0)</f>
        <v>13600</v>
      </c>
      <c r="I25" s="97" t="s">
        <v>269</v>
      </c>
    </row>
    <row r="26" spans="1:9">
      <c r="G26" s="97" t="s">
        <v>324</v>
      </c>
      <c r="H26" s="97">
        <v>1944</v>
      </c>
      <c r="I26" s="97" t="s">
        <v>268</v>
      </c>
    </row>
    <row r="27" spans="1:9">
      <c r="G27" s="97" t="s">
        <v>325</v>
      </c>
      <c r="H27" s="97">
        <f>IF(AND(H3+H10+H12-(H18+H26)&gt;=0,H3+H10+H12-(H18+H26)&lt;=2*H12),0,1)</f>
        <v>1</v>
      </c>
      <c r="I27" s="97" t="s">
        <v>326</v>
      </c>
    </row>
  </sheetData>
  <sheetProtection algorithmName="SHA-512" hashValue="1K6Z7WZahu0lyHj5G4+1et9fw23PY+MXVVUACVheu7HHk5XMtDWJQbbeQkK/hGTvbjgNvJe3UiKNWIY/gWQoGA==" saltValue="hwtftJEHFJ4oUUXR/xuLzQ==" spinCount="100000" sheet="1" objects="1" scenarios="1"/>
  <mergeCells count="7">
    <mergeCell ref="G24:I24"/>
    <mergeCell ref="A1:B1"/>
    <mergeCell ref="G1:I1"/>
    <mergeCell ref="G4:I4"/>
    <mergeCell ref="G7:I7"/>
    <mergeCell ref="A16:B16"/>
    <mergeCell ref="G16:I16"/>
  </mergeCells>
  <phoneticPr fontId="21" type="noConversion"/>
  <dataValidations count="7">
    <dataValidation type="custom" allowBlank="1" showInputMessage="1" showErrorMessage="1" errorTitle="Input parameter error" error="Input parameter error,Input range from 64 to 2592,and is an integer multiple of 4_x000a_" sqref="B2" xr:uid="{00000000-0002-0000-1900-000000000000}">
      <formula1>AND(MOD(B2,4)=0,B2&gt;=64,B2&lt;=2592)</formula1>
    </dataValidation>
    <dataValidation type="custom" allowBlank="1" showInputMessage="1" showErrorMessage="1" errorTitle="Input parameter error" error="Input parameter error,Input range from 64 to 1944,and is an integer multiple of 4" sqref="B3" xr:uid="{00000000-0002-0000-1900-000001000000}">
      <formula1>AND(MOD(B3,4)=0,B3&gt;=64,B3&lt;=1944)</formula1>
    </dataValidation>
    <dataValidation type="list" allowBlank="1" showInputMessage="1" showErrorMessage="1" errorTitle="Input parameter error" error="Input 8 or 10" sqref="B5" xr:uid="{00000000-0002-0000-1900-000002000000}">
      <formula1>"8,10"</formula1>
    </dataValidation>
    <dataValidation type="whole" allowBlank="1" showInputMessage="1" showErrorMessage="1" errorTitle="Input parameter error" error="Input range is 20-1000000" sqref="B4" xr:uid="{00000000-0002-0000-1900-000003000000}">
      <formula1>20</formula1>
      <formula2>1000000</formula2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1900-000004000000}">
      <formula1>OR(AND(B5=8,B6&gt;=35000000,B6&lt;=200000000,MOD(B6,1000000)=0),AND(B5=10,B6&gt;=70000000,B6&lt;=200000000,MOD(B6,1000000)=0))</formula1>
    </dataValidation>
    <dataValidation type="custom" allowBlank="1" showInputMessage="1" showErrorMessage="1" errorTitle="Input parameter error" error="Input range from 0.1 to 10000,step 0.1" sqref="B10" xr:uid="{00000000-0002-0000-1900-000005000000}">
      <formula1>AND(MOD(10*B10,1)=0,B10&gt;=0.1,B10&lt;=10000)</formula1>
    </dataValidation>
    <dataValidation type="list" allowBlank="1" showInputMessage="1" showErrorMessage="1" errorTitle="Input parameter error" error="Input on or off" sqref="B8:B9" xr:uid="{00000000-0002-0000-1900-000006000000}">
      <formula1>"on,off"</formula1>
    </dataValidation>
  </dataValidations>
  <pageMargins left="0.7" right="0.7" top="0.75" bottom="0.75" header="0.3" footer="0.3"/>
  <pageSetup paperSize="9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N25"/>
  <sheetViews>
    <sheetView workbookViewId="0">
      <selection sqref="A1:B1"/>
    </sheetView>
  </sheetViews>
  <sheetFormatPr defaultColWidth="9" defaultRowHeight="15"/>
  <cols>
    <col min="1" max="1" width="36.7109375" customWidth="1"/>
    <col min="2" max="2" width="17.140625" customWidth="1"/>
    <col min="3" max="3" width="11.42578125" customWidth="1"/>
    <col min="4" max="4" width="9" customWidth="1"/>
    <col min="5" max="5" width="20" customWidth="1"/>
    <col min="6" max="6" width="9" hidden="1" customWidth="1"/>
    <col min="7" max="7" width="18" hidden="1" customWidth="1"/>
    <col min="8" max="8" width="22.140625" hidden="1" customWidth="1"/>
    <col min="9" max="9" width="32.42578125" hidden="1" customWidth="1"/>
    <col min="10" max="10" width="24.5703125" hidden="1" customWidth="1"/>
    <col min="11" max="14" width="9" hidden="1" customWidth="1"/>
    <col min="15" max="15" width="9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IF(OR(B2&gt;2448/B6,B2&lt;8),LOOKUP(B6,F3:F5,I3:I5),IF(OR(B2&gt;2448/B8,B2&lt;8),LOOKUP(B8,F10:F12,I10:I12),""))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IF(OR(B3&gt;2048/B7,B3&lt;4),LOOKUP(B7,F3:F5,J3:J5),IF(OR(B3&gt;2048/B9,B3&lt;4),LOOKUP(B9,F10:F12,J10:J12),""))</f>
        <v/>
      </c>
      <c r="D3" s="2"/>
      <c r="E3" s="2"/>
      <c r="F3" s="2">
        <v>1</v>
      </c>
      <c r="G3" s="2">
        <v>2448</v>
      </c>
      <c r="H3" s="2">
        <v>2048</v>
      </c>
      <c r="I3" s="2" t="s">
        <v>316</v>
      </c>
      <c r="J3" s="2" t="s">
        <v>317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318</v>
      </c>
      <c r="J4" s="2" t="s">
        <v>319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320</v>
      </c>
      <c r="J5" s="2" t="s">
        <v>321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316</v>
      </c>
      <c r="J10" s="2" t="s">
        <v>317</v>
      </c>
    </row>
    <row r="11" spans="1:10">
      <c r="A11" s="3" t="s">
        <v>168</v>
      </c>
      <c r="B11" s="7">
        <v>20000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2" t="s">
        <v>318</v>
      </c>
      <c r="J11" s="2" t="s">
        <v>319</v>
      </c>
    </row>
    <row r="12" spans="1:10">
      <c r="A12" s="3" t="s">
        <v>199</v>
      </c>
      <c r="B12" s="7">
        <v>0</v>
      </c>
      <c r="C12" s="2"/>
      <c r="D12" s="2"/>
      <c r="E12" s="2"/>
      <c r="F12" s="2">
        <v>4</v>
      </c>
      <c r="G12" s="2">
        <v>608</v>
      </c>
      <c r="H12" s="2">
        <v>512</v>
      </c>
      <c r="I12" s="2" t="s">
        <v>320</v>
      </c>
      <c r="J12" s="2" t="s">
        <v>321</v>
      </c>
    </row>
    <row r="13" spans="1:10">
      <c r="A13" s="3" t="s">
        <v>315</v>
      </c>
      <c r="B13" s="7">
        <v>8</v>
      </c>
      <c r="C13" s="2"/>
      <c r="D13" s="2"/>
      <c r="E13" s="2"/>
      <c r="F13" s="2"/>
      <c r="G13" s="2"/>
      <c r="H13" s="2"/>
      <c r="I13" s="2" t="s">
        <v>194</v>
      </c>
      <c r="J13" s="2"/>
    </row>
    <row r="14" spans="1:10">
      <c r="A14" s="3" t="s">
        <v>170</v>
      </c>
      <c r="B14" s="7">
        <v>300000000</v>
      </c>
      <c r="C14" s="2"/>
      <c r="D14" s="2"/>
      <c r="E14" s="2"/>
      <c r="F14" s="2"/>
      <c r="G14" s="2">
        <v>2448</v>
      </c>
      <c r="H14" s="2">
        <v>2048</v>
      </c>
      <c r="I14" s="2"/>
      <c r="J14" s="2"/>
    </row>
    <row r="15" spans="1:10" hidden="1">
      <c r="A15" s="3"/>
      <c r="B15" s="7"/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171</v>
      </c>
      <c r="B16" s="7">
        <f>IF(B10="Standard",MAX(ROUNDUP((B11-13.73)/B19,0),1),IF(B11&gt;14,ROUNDUP((B11-13.73),0),1))</f>
        <v>1503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172</v>
      </c>
      <c r="B17" s="7" t="str">
        <f>IF((B13&lt;=8),"1","2")</f>
        <v>1</v>
      </c>
      <c r="C17" s="2"/>
      <c r="D17" s="2"/>
      <c r="E17" s="2"/>
      <c r="F17" s="2"/>
      <c r="G17" s="2"/>
      <c r="H17" s="2" t="s">
        <v>210</v>
      </c>
      <c r="I17" s="143">
        <f>IF(B4=1,498.75,405 )</f>
        <v>498.75</v>
      </c>
      <c r="J17" s="2"/>
    </row>
    <row r="18" spans="1:10" hidden="1">
      <c r="A18" s="3" t="s">
        <v>173</v>
      </c>
      <c r="B18" s="7">
        <f>B2*B3*B17+84</f>
        <v>5013588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3" t="s">
        <v>174</v>
      </c>
      <c r="B19" s="7">
        <f>ROUNDUP(IF(B13=8,I17/37.5,I17/37.5)*1000,10)/1000</f>
        <v>13.3</v>
      </c>
      <c r="C19" s="5"/>
      <c r="D19" s="2"/>
      <c r="E19" s="2"/>
      <c r="F19" s="2"/>
      <c r="G19" s="2"/>
      <c r="H19" s="2" t="s">
        <v>211</v>
      </c>
      <c r="I19" s="2">
        <f>IF(B10="Standard",ROUNDUP((B16+14)*B19,0)+ROUNDUP(B12/B19,0)*B19,B16+ROUNDUP((B3*B7*B9+38)*B19,0)+10+B12+ROUNDUP(I23,0))</f>
        <v>20177</v>
      </c>
      <c r="J19" s="2"/>
    </row>
    <row r="20" spans="1:10" hidden="1">
      <c r="A20" s="3" t="s">
        <v>175</v>
      </c>
      <c r="B20" s="7">
        <f>IF(B10="Standard",(B3*B7*B9+38)*B19,ROUNDUP((B3*B7*B9+38)*B19,0)+10)</f>
        <v>27743.800000000003</v>
      </c>
      <c r="H20" t="s">
        <v>212</v>
      </c>
      <c r="I20" s="2">
        <f>IF(B10="Standard",ROUNDUP((B3*B7*B9+38)*B19,0),ROUNDUP((B3*B7*B9+38)*B19,0)+10)</f>
        <v>27744</v>
      </c>
    </row>
    <row r="21" spans="1:10">
      <c r="A21" s="3" t="s">
        <v>176</v>
      </c>
      <c r="B21" s="7" t="s">
        <v>177</v>
      </c>
      <c r="H21" s="2" t="s">
        <v>213</v>
      </c>
      <c r="I21">
        <f>IF(B10="Standard",ROUNDUP(MAX(ROUNDUP(B18*1000000/395000000/B19,0),ROUNDUP(B18*1000000/B14/B19,0))*B19,0),MAX(ROUNDUP(B18*1000000/395000000,0),ROUNDUP(B18*1000000/B14,0)))</f>
        <v>16719</v>
      </c>
    </row>
    <row r="22" spans="1:10">
      <c r="A22" s="3" t="s">
        <v>178</v>
      </c>
      <c r="B22" s="7">
        <v>36</v>
      </c>
      <c r="H22" s="2" t="s">
        <v>214</v>
      </c>
      <c r="I22">
        <f>IF(B10="Standard",B19*(IF(B21="off",0,1))*ROUNDUP(1000*1000/(B19*B22),0),(IF(B21="off",0,1))*ROUNDUP(1000*1000/B22,0))</f>
        <v>0</v>
      </c>
    </row>
    <row r="23" spans="1:10" hidden="1">
      <c r="A23" s="6" t="s">
        <v>179</v>
      </c>
      <c r="B23" s="95">
        <f>MAX(I19,I20,I21,I22)</f>
        <v>27744</v>
      </c>
      <c r="H23" s="2" t="s">
        <v>215</v>
      </c>
      <c r="I23">
        <f>IF(AND(B10="UltraShort",B11&lt;=14),14.44,13.73)</f>
        <v>13.73</v>
      </c>
    </row>
    <row r="24" spans="1:10">
      <c r="A24" s="155" t="s">
        <v>180</v>
      </c>
      <c r="B24" s="156"/>
      <c r="C24" s="19" t="str">
        <f>IF(OR(B3&gt;2048/B7,B3&gt;2048/B9,B3&lt;4,B2&gt;2448/B6,B2&gt;2448/B8,B2&lt;8),I6,"")</f>
        <v/>
      </c>
    </row>
    <row r="25" spans="1:10" ht="22.5">
      <c r="A25" s="11" t="s">
        <v>181</v>
      </c>
      <c r="B25" s="12">
        <f>1000000/B23</f>
        <v>36.043829296424455</v>
      </c>
    </row>
  </sheetData>
  <sheetProtection algorithmName="SHA-512" hashValue="lojy4yKBx45PyX8eSgZ3K4O9entBPiikISCZI7bVqMQGwsT66JOJ8V8HUGW4iCsdHY9j1pNux4oWMveGdJ7qtQ==" saltValue="57JhQ/RiyMOlBjXMvyPsog==" spinCount="100000" sheet="1" objects="1" scenarios="1"/>
  <mergeCells count="2">
    <mergeCell ref="A1:B1"/>
    <mergeCell ref="A24:B24"/>
  </mergeCells>
  <phoneticPr fontId="21" type="noConversion"/>
  <conditionalFormatting sqref="B2">
    <cfRule type="cellIs" dxfId="122" priority="6" operator="notBetween">
      <formula>8</formula>
      <formula>$G$14</formula>
    </cfRule>
    <cfRule type="cellIs" dxfId="121" priority="8" operator="notBetween">
      <formula>8</formula>
      <formula>$G$7</formula>
    </cfRule>
  </conditionalFormatting>
  <conditionalFormatting sqref="B3">
    <cfRule type="cellIs" dxfId="120" priority="5" operator="notBetween">
      <formula>4</formula>
      <formula>$H$7</formula>
    </cfRule>
    <cfRule type="cellIs" dxfId="119" priority="7" operator="notBetween">
      <formula>4</formula>
      <formula>$H$14</formula>
    </cfRule>
  </conditionalFormatting>
  <conditionalFormatting sqref="B6">
    <cfRule type="expression" dxfId="118" priority="4">
      <formula>AND(B8&gt;1,B6&gt;1)</formula>
    </cfRule>
  </conditionalFormatting>
  <conditionalFormatting sqref="B7">
    <cfRule type="expression" dxfId="117" priority="2">
      <formula>AND(B7&gt;1,B9&gt;1)</formula>
    </cfRule>
  </conditionalFormatting>
  <conditionalFormatting sqref="B8">
    <cfRule type="expression" dxfId="116" priority="3">
      <formula>AND(B8&gt;1,B6&gt;1)</formula>
    </cfRule>
  </conditionalFormatting>
  <conditionalFormatting sqref="B9">
    <cfRule type="expression" dxfId="115" priority="1">
      <formula>AND(B7&gt;1,B9&gt;1)</formula>
    </cfRule>
  </conditionalFormatting>
  <dataValidations count="12">
    <dataValidation type="list" allowBlank="1" showInputMessage="1" showErrorMessage="1" errorTitle="Input parameter error" error="Input range is 1,2,4" sqref="B6:B9" xr:uid="{00000000-0002-0000-1A00-000000000000}">
      <formula1>"1,2,4"</formula1>
    </dataValidation>
    <dataValidation type="custom" allowBlank="1" showInputMessage="1" showErrorMessage="1" errorTitle="Input parameter error" error="Input range from 0.1 to 10000,step 0.1" sqref="B22" xr:uid="{00000000-0002-0000-1A00-000001000000}">
      <formula1>AND(MOD(10*B22,1)=0,B22&gt;=0.1,B22&lt;=10000)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4" xr:uid="{00000000-0002-0000-1A00-000002000000}">
      <formula1>OR(AND(B13=8,B14&gt;=35000000,B14&lt;=400000000,MOD(B14,1000000)=0),AND(B13=12,B14&gt;=70000000,B14&lt;=400000000,MOD(B14,1000000)=0))</formula1>
    </dataValidation>
    <dataValidation type="list" allowBlank="1" showInputMessage="1" showErrorMessage="1" errorTitle="Input parameter error" error="Input on or off" sqref="B21" xr:uid="{00000000-0002-0000-1A00-000003000000}">
      <formula1>"on,off"</formula1>
    </dataValidation>
    <dataValidation type="whole" allowBlank="1" showInputMessage="1" showErrorMessage="1" error="Exposure delay time range is 0-5000" sqref="B12" xr:uid="{00000000-0002-0000-1A00-000004000000}">
      <formula1>0</formula1>
      <formula2>5000</formula2>
    </dataValidation>
    <dataValidation type="list" allowBlank="1" showInputMessage="1" showErrorMessage="1" errorTitle="Input parameter error" error="Input Standard or UltraShort" sqref="B10" xr:uid="{00000000-0002-0000-1A00-000005000000}">
      <formula1>"Standard,UltraShort"</formula1>
    </dataValidation>
    <dataValidation type="list" allowBlank="1" showInputMessage="1" showErrorMessage="1" errorTitle="Input parameter error" error="Input range is 1,2" sqref="B4" xr:uid="{00000000-0002-0000-1A00-000006000000}">
      <formula1>"1,2"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A00-000007000000}">
      <formula1>AND(MOD(B3,2)=0,B3&gt;=4,B3&lt;=2048/B7)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A00-000008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A00-000009000000}">
      <formula1>AND(MOD(B2,8)=0,B2&gt;=8,B2&lt;=2448/B6)</formula1>
    </dataValidation>
    <dataValidation type="list" allowBlank="1" showInputMessage="1" showErrorMessage="1" errorTitle="Input parameter error" error="Input parameter error,Input range from 64 to 2048,and is an integer multiple of 2" sqref="B5" xr:uid="{00000000-0002-0000-1A00-00000A000000}">
      <formula1>"1,2"</formula1>
    </dataValidation>
    <dataValidation type="list" allowBlank="1" showInputMessage="1" showErrorMessage="1" errorTitle="Input parameter error" error="Input 8 or 12" sqref="B13" xr:uid="{00000000-0002-0000-1A00-00000B000000}">
      <formula1>"8,12"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41"/>
  <sheetViews>
    <sheetView workbookViewId="0">
      <selection activeCell="B49" sqref="B49"/>
    </sheetView>
  </sheetViews>
  <sheetFormatPr defaultColWidth="9" defaultRowHeight="15"/>
  <cols>
    <col min="1" max="1" width="38" style="104" customWidth="1"/>
    <col min="2" max="2" width="35.85546875" style="104" customWidth="1"/>
    <col min="3" max="3" width="63" style="104" customWidth="1"/>
    <col min="4" max="4" width="9.28515625" style="104" customWidth="1"/>
    <col min="5" max="5" width="9" style="104"/>
    <col min="6" max="6" width="20" style="104" hidden="1" customWidth="1"/>
    <col min="7" max="7" width="13.5703125" style="104" hidden="1" customWidth="1"/>
    <col min="8" max="8" width="9" style="104" hidden="1" customWidth="1"/>
    <col min="9" max="9" width="68.28515625" style="104" hidden="1" customWidth="1"/>
    <col min="10" max="10" width="61.5703125" style="104" hidden="1" customWidth="1"/>
    <col min="11" max="11" width="24.5703125" style="104" customWidth="1"/>
    <col min="12" max="16384" width="9" style="104"/>
  </cols>
  <sheetData>
    <row r="1" spans="1:10">
      <c r="A1" s="167" t="s">
        <v>165</v>
      </c>
      <c r="B1" s="168"/>
      <c r="C1" s="105"/>
      <c r="D1" s="105"/>
      <c r="E1" s="105"/>
      <c r="F1" s="105"/>
      <c r="G1" s="105"/>
      <c r="H1" s="105"/>
      <c r="I1" s="105"/>
      <c r="J1" s="105"/>
    </row>
    <row r="2" spans="1:10">
      <c r="A2" s="106" t="s">
        <v>166</v>
      </c>
      <c r="B2" s="107">
        <v>2592</v>
      </c>
      <c r="C2" s="108" t="str">
        <f>IF(OR(B2&gt;INT(2592/B4/32)*32,B2&lt;64),LOOKUP(B4,F3:F5,I3:I5),IF(OR(B2&gt;(2592/B6/32)*32,B2&lt;64),LOOKUP(B6,F11:F13,I11:I13),""))</f>
        <v/>
      </c>
      <c r="D2" s="105"/>
      <c r="E2" s="105"/>
      <c r="F2" s="105" t="s">
        <v>182</v>
      </c>
      <c r="G2" s="105" t="s">
        <v>183</v>
      </c>
      <c r="H2" s="105" t="s">
        <v>184</v>
      </c>
      <c r="I2" s="105"/>
      <c r="J2" s="105"/>
    </row>
    <row r="3" spans="1:10">
      <c r="A3" s="106" t="s">
        <v>167</v>
      </c>
      <c r="B3" s="107">
        <v>2048</v>
      </c>
      <c r="C3" s="108" t="str">
        <f>IF(OR(B3&gt;2048/B5,B3&lt;2),LOOKUP(B5,F3:F5,J3:J5),IF(OR(B3&gt;2048/B7,B3&lt;2),LOOKUP(B7,F11:F13,J11:J13),""))</f>
        <v/>
      </c>
      <c r="D3" s="105"/>
      <c r="E3" s="105"/>
      <c r="F3" s="105">
        <v>1</v>
      </c>
      <c r="G3" s="105">
        <v>2592</v>
      </c>
      <c r="H3" s="105">
        <v>2048</v>
      </c>
      <c r="I3" s="105" t="s">
        <v>327</v>
      </c>
      <c r="J3" s="105" t="s">
        <v>328</v>
      </c>
    </row>
    <row r="4" spans="1:10">
      <c r="A4" s="109" t="s">
        <v>238</v>
      </c>
      <c r="B4" s="110">
        <v>1</v>
      </c>
      <c r="C4" s="108"/>
      <c r="D4" s="105"/>
      <c r="E4" s="105"/>
      <c r="F4" s="105">
        <v>2</v>
      </c>
      <c r="G4" s="105">
        <f>INT(G3/2/32)*32</f>
        <v>1280</v>
      </c>
      <c r="H4" s="105">
        <f>H3/2</f>
        <v>1024</v>
      </c>
      <c r="I4" s="105" t="s">
        <v>329</v>
      </c>
      <c r="J4" s="105" t="s">
        <v>330</v>
      </c>
    </row>
    <row r="5" spans="1:10">
      <c r="A5" s="109" t="s">
        <v>240</v>
      </c>
      <c r="B5" s="110">
        <v>1</v>
      </c>
      <c r="C5" s="108"/>
      <c r="D5" s="105"/>
      <c r="E5" s="105"/>
      <c r="F5" s="105">
        <v>4</v>
      </c>
      <c r="G5" s="105">
        <f>INT(G3/4/32)*32</f>
        <v>640</v>
      </c>
      <c r="H5" s="105">
        <f>H4/2</f>
        <v>512</v>
      </c>
      <c r="I5" s="105" t="s">
        <v>331</v>
      </c>
      <c r="J5" s="105" t="s">
        <v>332</v>
      </c>
    </row>
    <row r="6" spans="1:10">
      <c r="A6" s="109" t="s">
        <v>187</v>
      </c>
      <c r="B6" s="110">
        <v>1</v>
      </c>
      <c r="C6" s="108" t="str">
        <f>IF(AND(B6&gt;1,B4&gt;1),"Horizontal binding and skipping cannot be set to be greater than 2 at the same time","")</f>
        <v/>
      </c>
      <c r="D6" s="105"/>
      <c r="E6" s="105"/>
      <c r="F6" s="105"/>
      <c r="G6" s="105"/>
      <c r="H6" s="105"/>
      <c r="I6" s="119" t="s">
        <v>194</v>
      </c>
      <c r="J6" s="105"/>
    </row>
    <row r="7" spans="1:10">
      <c r="A7" s="109" t="s">
        <v>190</v>
      </c>
      <c r="B7" s="110">
        <v>1</v>
      </c>
      <c r="C7" s="108" t="str">
        <f>IF(AND(B7&gt;1,B5&gt;1),"Vertical binding and skipping cannot be set to be greater than 2 at the same time","")</f>
        <v/>
      </c>
      <c r="D7" s="105"/>
      <c r="E7" s="105"/>
      <c r="F7" s="105"/>
      <c r="G7" s="105">
        <v>2592</v>
      </c>
      <c r="H7" s="105">
        <v>2048</v>
      </c>
      <c r="I7" s="105"/>
      <c r="J7" s="105"/>
    </row>
    <row r="8" spans="1:10">
      <c r="A8" s="106" t="s">
        <v>168</v>
      </c>
      <c r="B8" s="110">
        <v>10000</v>
      </c>
      <c r="C8" s="108"/>
      <c r="D8" s="105"/>
      <c r="E8" s="105"/>
      <c r="F8" s="104" t="s">
        <v>311</v>
      </c>
      <c r="G8" s="104" t="s">
        <v>312</v>
      </c>
      <c r="H8" s="105"/>
      <c r="I8" s="105"/>
      <c r="J8" s="105"/>
    </row>
    <row r="9" spans="1:10">
      <c r="A9" s="106" t="s">
        <v>199</v>
      </c>
      <c r="B9" s="110">
        <v>0</v>
      </c>
      <c r="C9" s="105"/>
      <c r="D9" s="105"/>
      <c r="E9" s="105"/>
      <c r="G9" s="104">
        <f>B7</f>
        <v>1</v>
      </c>
      <c r="H9" s="105"/>
      <c r="I9" s="105"/>
      <c r="J9" s="105"/>
    </row>
    <row r="10" spans="1:10">
      <c r="A10" s="106" t="s">
        <v>169</v>
      </c>
      <c r="B10" s="110">
        <v>8</v>
      </c>
      <c r="C10" s="108"/>
      <c r="D10" s="105"/>
      <c r="E10" s="105"/>
      <c r="F10" s="105" t="s">
        <v>198</v>
      </c>
      <c r="G10" s="105" t="s">
        <v>183</v>
      </c>
      <c r="H10" s="105" t="s">
        <v>184</v>
      </c>
      <c r="I10" s="105"/>
      <c r="J10" s="105"/>
    </row>
    <row r="11" spans="1:10">
      <c r="A11" s="106" t="s">
        <v>170</v>
      </c>
      <c r="B11" s="110">
        <v>300000000</v>
      </c>
      <c r="C11" s="105"/>
      <c r="D11" s="105"/>
      <c r="E11" s="105"/>
      <c r="F11" s="105">
        <v>1</v>
      </c>
      <c r="G11" s="105">
        <v>2592</v>
      </c>
      <c r="H11" s="105">
        <v>2048</v>
      </c>
      <c r="I11" s="105" t="s">
        <v>327</v>
      </c>
      <c r="J11" s="105" t="s">
        <v>328</v>
      </c>
    </row>
    <row r="12" spans="1:10" hidden="1">
      <c r="A12" s="111" t="s">
        <v>173</v>
      </c>
      <c r="B12" s="112">
        <f>IF(B10=8,B2*B3+84,B2*B3*2+84)</f>
        <v>5308500</v>
      </c>
      <c r="C12" s="105"/>
      <c r="D12" s="105"/>
      <c r="E12" s="105"/>
      <c r="F12" s="105">
        <v>2</v>
      </c>
      <c r="G12" s="105">
        <f>INT(G11/2/32)*32</f>
        <v>1280</v>
      </c>
      <c r="H12" s="105">
        <f>H11/2</f>
        <v>1024</v>
      </c>
      <c r="I12" s="105" t="s">
        <v>329</v>
      </c>
      <c r="J12" s="105" t="s">
        <v>330</v>
      </c>
    </row>
    <row r="13" spans="1:10" hidden="1">
      <c r="A13" s="111" t="s">
        <v>333</v>
      </c>
      <c r="B13" s="112">
        <v>5</v>
      </c>
      <c r="C13" s="105"/>
      <c r="D13" s="105"/>
      <c r="E13" s="105"/>
      <c r="F13" s="105"/>
      <c r="G13" s="105"/>
      <c r="H13" s="105"/>
      <c r="I13" s="105"/>
      <c r="J13" s="105"/>
    </row>
    <row r="14" spans="1:10" hidden="1">
      <c r="A14" s="111" t="s">
        <v>334</v>
      </c>
      <c r="B14" s="112">
        <v>6</v>
      </c>
      <c r="C14" s="105"/>
      <c r="D14" s="105"/>
      <c r="E14" s="105"/>
      <c r="F14" s="105"/>
      <c r="G14" s="105"/>
      <c r="H14" s="105"/>
      <c r="I14" s="119" t="s">
        <v>194</v>
      </c>
      <c r="J14" s="105"/>
    </row>
    <row r="15" spans="1:10" hidden="1">
      <c r="A15" s="111" t="s">
        <v>335</v>
      </c>
      <c r="B15" s="112">
        <v>1</v>
      </c>
      <c r="C15" s="105"/>
      <c r="D15" s="105"/>
      <c r="E15" s="105"/>
      <c r="F15" s="105"/>
      <c r="G15" s="105">
        <v>2592</v>
      </c>
      <c r="H15" s="105">
        <v>2048</v>
      </c>
      <c r="I15" s="105"/>
      <c r="J15" s="105"/>
    </row>
    <row r="16" spans="1:10" hidden="1">
      <c r="A16" s="111" t="s">
        <v>336</v>
      </c>
      <c r="B16" s="112">
        <v>65030</v>
      </c>
      <c r="C16" s="105"/>
      <c r="D16" s="105"/>
      <c r="E16" s="105"/>
      <c r="F16" s="105"/>
      <c r="G16" s="105"/>
      <c r="H16" s="105"/>
      <c r="I16" s="105"/>
      <c r="J16" s="105"/>
    </row>
    <row r="17" spans="1:10" hidden="1">
      <c r="A17" s="111" t="s">
        <v>337</v>
      </c>
      <c r="B17" s="112">
        <v>4390</v>
      </c>
      <c r="C17" s="105"/>
      <c r="D17" s="105"/>
      <c r="E17" s="105"/>
      <c r="F17" s="105"/>
      <c r="G17" s="105"/>
      <c r="H17" s="105"/>
      <c r="I17" s="120"/>
      <c r="J17" s="105"/>
    </row>
    <row r="18" spans="1:10" hidden="1">
      <c r="A18" s="111" t="s">
        <v>338</v>
      </c>
      <c r="B18" s="112">
        <v>80</v>
      </c>
      <c r="C18" s="105"/>
      <c r="D18" s="105"/>
      <c r="E18" s="105"/>
      <c r="F18" s="105"/>
      <c r="G18" s="105"/>
      <c r="H18" s="105"/>
      <c r="I18" s="120"/>
      <c r="J18" s="105"/>
    </row>
    <row r="19" spans="1:10" hidden="1">
      <c r="A19" s="111" t="s">
        <v>339</v>
      </c>
      <c r="B19" s="112">
        <v>80</v>
      </c>
      <c r="C19" s="105"/>
      <c r="D19" s="105"/>
      <c r="E19" s="105"/>
      <c r="F19" s="105"/>
      <c r="G19" s="105"/>
      <c r="H19" s="105"/>
      <c r="I19" s="105"/>
      <c r="J19" s="105"/>
    </row>
    <row r="20" spans="1:10" hidden="1">
      <c r="A20" s="111" t="s">
        <v>340</v>
      </c>
      <c r="B20" s="112">
        <v>4</v>
      </c>
      <c r="C20" s="108"/>
      <c r="D20" s="105"/>
      <c r="E20" s="105"/>
      <c r="F20" s="105"/>
      <c r="G20" s="105"/>
      <c r="H20" s="105"/>
      <c r="I20" s="105"/>
      <c r="J20" s="105"/>
    </row>
    <row r="21" spans="1:10" hidden="1">
      <c r="A21" s="111" t="s">
        <v>341</v>
      </c>
      <c r="B21" s="112">
        <v>4</v>
      </c>
    </row>
    <row r="22" spans="1:10" hidden="1">
      <c r="A22" s="111" t="s">
        <v>342</v>
      </c>
      <c r="B22" s="112">
        <v>2</v>
      </c>
      <c r="C22" s="113"/>
      <c r="H22" s="105"/>
    </row>
    <row r="23" spans="1:10" hidden="1">
      <c r="A23" s="111" t="s">
        <v>343</v>
      </c>
      <c r="B23" s="112">
        <v>2</v>
      </c>
      <c r="H23" s="105"/>
    </row>
    <row r="24" spans="1:10" hidden="1">
      <c r="A24" s="111" t="s">
        <v>344</v>
      </c>
      <c r="B24" s="112">
        <f>IF(B10=8,100,255)</f>
        <v>100</v>
      </c>
    </row>
    <row r="25" spans="1:10" hidden="1">
      <c r="A25" s="111" t="s">
        <v>345</v>
      </c>
      <c r="B25" s="112">
        <f>IF(B10=8,0,900)</f>
        <v>0</v>
      </c>
    </row>
    <row r="26" spans="1:10" hidden="1">
      <c r="A26" s="111" t="s">
        <v>346</v>
      </c>
      <c r="B26" s="114">
        <f>ROUNDUP(MAX(B18+B22,B2*B6/8+B20+B24)*1000/64,0)</f>
        <v>6688</v>
      </c>
    </row>
    <row r="27" spans="1:10" hidden="1">
      <c r="A27" s="111" t="s">
        <v>347</v>
      </c>
      <c r="B27" s="112">
        <f>ROUNDUP((G7/8+B20+B24)*1000/64,0)</f>
        <v>6688</v>
      </c>
    </row>
    <row r="28" spans="1:10" hidden="1">
      <c r="A28" s="111" t="s">
        <v>348</v>
      </c>
      <c r="B28" s="112">
        <f>B26*B7*B3</f>
        <v>13697024</v>
      </c>
    </row>
    <row r="29" spans="1:10" hidden="1">
      <c r="A29" s="111" t="s">
        <v>349</v>
      </c>
      <c r="B29" s="112">
        <f>B27*B13</f>
        <v>33440</v>
      </c>
    </row>
    <row r="30" spans="1:10" hidden="1">
      <c r="A30" s="111" t="s">
        <v>350</v>
      </c>
      <c r="B30" s="112">
        <f>B27*B14</f>
        <v>40128</v>
      </c>
    </row>
    <row r="31" spans="1:10" hidden="1">
      <c r="A31" s="111" t="s">
        <v>351</v>
      </c>
      <c r="B31" s="112">
        <f>B27*B15</f>
        <v>6688</v>
      </c>
    </row>
    <row r="32" spans="1:10" hidden="1">
      <c r="A32" s="111" t="s">
        <v>352</v>
      </c>
      <c r="B32" s="112">
        <v>40000</v>
      </c>
    </row>
    <row r="33" spans="1:3" hidden="1">
      <c r="A33" s="111" t="s">
        <v>353</v>
      </c>
      <c r="B33" s="112">
        <f>ROUNDUP((B19*1000/64+B29+B28+B30+B16+B17+B32)/1000,0)</f>
        <v>13882</v>
      </c>
    </row>
    <row r="34" spans="1:3" hidden="1">
      <c r="A34" s="111" t="s">
        <v>296</v>
      </c>
      <c r="B34" s="112">
        <f>ROUNDUP((B31+B8*1000+B9*1000+B16+B17+B32)/1000,0)</f>
        <v>10117</v>
      </c>
    </row>
    <row r="35" spans="1:3" hidden="1">
      <c r="A35" s="111" t="s">
        <v>298</v>
      </c>
      <c r="B35" s="112">
        <f>IF(B37="off",0,ROUNDUP(1000000/B38,0))</f>
        <v>0</v>
      </c>
    </row>
    <row r="36" spans="1:3" hidden="1">
      <c r="A36" s="111" t="s">
        <v>302</v>
      </c>
      <c r="B36" s="112">
        <f>ROUNDUP(MAX(B12*1000000/B11,B12*1000000/395000000),0)</f>
        <v>17695</v>
      </c>
    </row>
    <row r="37" spans="1:3">
      <c r="A37" s="106" t="s">
        <v>176</v>
      </c>
      <c r="B37" s="110" t="s">
        <v>177</v>
      </c>
      <c r="C37" s="113"/>
    </row>
    <row r="38" spans="1:3">
      <c r="A38" s="106" t="s">
        <v>178</v>
      </c>
      <c r="B38" s="110">
        <v>72</v>
      </c>
    </row>
    <row r="39" spans="1:3" hidden="1">
      <c r="A39" s="115" t="s">
        <v>179</v>
      </c>
      <c r="B39" s="116">
        <f>MAX(MAX(B33,B36)+B25,B34,B35)</f>
        <v>17695</v>
      </c>
    </row>
    <row r="40" spans="1:3">
      <c r="A40" s="169" t="s">
        <v>354</v>
      </c>
      <c r="B40" s="170"/>
    </row>
    <row r="41" spans="1:3" ht="22.5">
      <c r="A41" s="117" t="s">
        <v>181</v>
      </c>
      <c r="B41" s="118">
        <f>1000000/B39</f>
        <v>56.513139304888384</v>
      </c>
      <c r="C41" s="113" t="str">
        <f>IF(OR(B3&gt;2048/B7,AND(B3&lt;&gt;1024,B5=2),B3&lt;2,B2&gt;2592/B6,AND(B2&lt;&gt;1280,B4=2),B2&lt;64),I6,"")</f>
        <v/>
      </c>
    </row>
  </sheetData>
  <sheetProtection algorithmName="SHA-512" hashValue="YTfDzsy9AB2Tqszn6XnIfDSY4cfGsksfQCu8HqHlcNqpC2CyyTjXbUFd3GOyE6Nu5/2ymiEIYNqz27xf7uHTYw==" saltValue="Zb+AzLE6FLAM8cqPKeTZkQ==" spinCount="100000" sheet="1" objects="1" scenarios="1"/>
  <mergeCells count="2">
    <mergeCell ref="A1:B1"/>
    <mergeCell ref="A40:B40"/>
  </mergeCells>
  <phoneticPr fontId="21" type="noConversion"/>
  <conditionalFormatting sqref="B2">
    <cfRule type="cellIs" dxfId="114" priority="4" operator="notBetween">
      <formula>16</formula>
      <formula>$G$15</formula>
    </cfRule>
    <cfRule type="cellIs" dxfId="113" priority="6" operator="notBetween">
      <formula>16</formula>
      <formula>$G$7</formula>
    </cfRule>
  </conditionalFormatting>
  <conditionalFormatting sqref="B3">
    <cfRule type="cellIs" dxfId="112" priority="3" operator="notBetween">
      <formula>2</formula>
      <formula>$H$7</formula>
    </cfRule>
    <cfRule type="cellIs" dxfId="111" priority="5" operator="notBetween">
      <formula>2</formula>
      <formula>$H$15</formula>
    </cfRule>
  </conditionalFormatting>
  <conditionalFormatting sqref="B6">
    <cfRule type="expression" dxfId="110" priority="1">
      <formula>AND(#REF!&gt;1,B6&gt;1)</formula>
    </cfRule>
  </conditionalFormatting>
  <conditionalFormatting sqref="B7">
    <cfRule type="expression" dxfId="109" priority="2">
      <formula>AND(B7&gt;1,#REF!&gt;1)</formula>
    </cfRule>
  </conditionalFormatting>
  <dataValidations count="11">
    <dataValidation type="custom" allowBlank="1" showInputMessage="1" showErrorMessage="1" errorTitle="参数输入错误" error="Input range 64-2592, and it is an integer multiple of 32" sqref="B2" xr:uid="{00000000-0002-0000-1B00-000000000000}">
      <formula1>AND(MOD(B2,32)=0,B2&gt;=64,B2&lt;=2592)</formula1>
    </dataValidation>
    <dataValidation type="whole" allowBlank="1" showInputMessage="1" showErrorMessage="1" errorTitle="参数输入错误" error="Exposure time range 1-1000000" sqref="B8" xr:uid="{00000000-0002-0000-1B00-000001000000}">
      <formula1>1</formula1>
      <formula2>1000000</formula2>
    </dataValidation>
    <dataValidation type="custom" allowBlank="1" showInputMessage="1" showErrorMessage="1" errorTitle="参数输入错误" error="Input range 2-2048, and it is an integer multiple of 2" sqref="B3" xr:uid="{00000000-0002-0000-1B00-000002000000}">
      <formula1>AND(MOD(B3,2)=0,B3&gt;=2,B3&lt;=2048)</formula1>
    </dataValidation>
    <dataValidation type="list" allowBlank="1" showInputMessage="1" showErrorMessage="1" errorTitle="参数输入错误" error="Only input on or off" sqref="B37" xr:uid="{00000000-0002-0000-1B00-000003000000}">
      <formula1>"on,off"</formula1>
    </dataValidation>
    <dataValidation type="list" allowBlank="1" showInputMessage="1" showErrorMessage="1" sqref="B6 B7" xr:uid="{00000000-0002-0000-1B00-000004000000}">
      <formula1>"1,2,4"</formula1>
    </dataValidation>
    <dataValidation type="list" allowBlank="1" showInputMessage="1" showErrorMessage="1" errorTitle="参数输入错误" error="The inputtable values are 1,2" sqref="B4" xr:uid="{00000000-0002-0000-1B00-000005000000}">
      <formula1>"1,2"</formula1>
    </dataValidation>
    <dataValidation type="list" allowBlank="1" showInputMessage="1" showErrorMessage="1" sqref="B5" xr:uid="{00000000-0002-0000-1B00-000006000000}">
      <formula1>"1,2"</formula1>
    </dataValidation>
    <dataValidation type="whole" allowBlank="1" showInputMessage="1" showErrorMessage="1" errorTitle="参数输入错误" error="Input range 0-5000" sqref="B9" xr:uid="{00000000-0002-0000-1B00-000007000000}">
      <formula1>0</formula1>
      <formula2>5000</formula2>
    </dataValidation>
    <dataValidation type="list" allowBlank="1" showInputMessage="1" showErrorMessage="1" sqref="B10" xr:uid="{00000000-0002-0000-1B00-000008000000}">
      <formula1>"8,10"</formula1>
    </dataValidation>
    <dataValidation type="custom" allowBlank="1" showInputMessage="1" showErrorMessage="1" errorTitle="参数输入错误" error="8bit mode range from 35000000 to 400000000,step 1000000;_x000a_10bit mode range from 70000000 to 400000000,step 1000000" sqref="B11" xr:uid="{00000000-0002-0000-1B00-000009000000}">
      <formula1>OR(AND(B10=8,B11&gt;=35000000,B11&lt;=400000000,MOD(B11,1000000)=0),AND(B10=10,B11&gt;=70000000,B11&lt;=400000000,MOD(B11,1000000)=0))</formula1>
    </dataValidation>
    <dataValidation type="custom" allowBlank="1" showInputMessage="1" showErrorMessage="1" errorTitle="参数输入错误" error="Input range is 0.1-10000, with a step value of 0.1" sqref="B38" xr:uid="{00000000-0002-0000-1B00-00000A000000}">
      <formula1>AND(MOD(10*B38,1)=0,B38&gt;=0.1,B38&lt;=10000)</formula1>
    </dataValidation>
  </dataValidations>
  <pageMargins left="0.75" right="0.75" top="1" bottom="1" header="0.5" footer="0.5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J44"/>
  <sheetViews>
    <sheetView workbookViewId="0">
      <selection activeCell="B9" sqref="B9"/>
    </sheetView>
  </sheetViews>
  <sheetFormatPr defaultColWidth="9" defaultRowHeight="15"/>
  <cols>
    <col min="1" max="1" width="36.85546875" customWidth="1"/>
    <col min="2" max="2" width="30.7109375" customWidth="1"/>
    <col min="3" max="3" width="31.42578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2600</v>
      </c>
      <c r="C2" s="5" t="str">
        <f>IF(OR(B2&gt;2600/B4,B2&lt;8),LOOKUP(B4,F3:F5,I3:I5),IF(OR(B2&gt;2600/B6,B2&lt;8),LOOKUP(B6,F12:F14,I12:I14),""))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2160</v>
      </c>
      <c r="C3" s="5" t="str">
        <f>IF(OR(B3&gt;2160/B5,B3&lt;2),LOOKUP(B5,F3:F5,J3:J5),IF(OR(B3&gt;2160/B7,B3&lt;2),LOOKUP(B7,F12:F14,J12:J13),""))</f>
        <v/>
      </c>
      <c r="D3" s="2"/>
      <c r="E3" s="2"/>
      <c r="F3" s="2">
        <v>1</v>
      </c>
      <c r="G3" s="2">
        <f>8*INT(2600/(8*F3))</f>
        <v>2600</v>
      </c>
      <c r="H3" s="2">
        <f>2*INT(2160/(2*F3))</f>
        <v>2160</v>
      </c>
      <c r="I3" s="2" t="str">
        <f>"Input range from 8 to "&amp;G3&amp;",and is an integer multiple of 8"</f>
        <v>Input range from 8 to 2600,and is an integer multiple of 8</v>
      </c>
      <c r="J3" s="2" t="str">
        <f>"Input range from 2 to "&amp;H3&amp;",and is an integer multiple of 2"</f>
        <v>Input range from 2 to 2160,and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8*INT(2600/(8*F4))</f>
        <v>1296</v>
      </c>
      <c r="H4" s="2">
        <f>2*INT(2160/(2*F4))</f>
        <v>1080</v>
      </c>
      <c r="I4" s="2" t="str">
        <f>"Input range from 8 to "&amp;G4&amp;",and is an integer multiple of 8"</f>
        <v>Input range from 8 to 1296,and is an integer multiple of 8</v>
      </c>
      <c r="J4" s="2" t="str">
        <f>"Input range from 2 to "&amp;H4&amp;",and is an integer multiple of 2"</f>
        <v>Input range from 2 to 1080,and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8*INT(2600/(8*F5))</f>
        <v>648</v>
      </c>
      <c r="H5" s="2">
        <f>2*INT(2160/(2*F5))</f>
        <v>540</v>
      </c>
      <c r="I5" s="2" t="str">
        <f>"Input range from 8 to "&amp;G5&amp;",and is an integer multiple of 8"</f>
        <v>Input range from 8 to 648,and is an integer multiple of 8</v>
      </c>
      <c r="J5" s="2" t="str">
        <f>"Input range from 2 to "&amp;H5&amp;",and is an integer multiple of 2"</f>
        <v>Input range from 2 to 540,and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2600/B4</f>
        <v>2600</v>
      </c>
      <c r="H7" s="2">
        <f>2160/B5</f>
        <v>2160</v>
      </c>
      <c r="I7" s="2"/>
      <c r="J7" s="2"/>
    </row>
    <row r="8" spans="1:10">
      <c r="A8" s="3" t="s">
        <v>168</v>
      </c>
      <c r="B8" s="7">
        <v>20000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315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8*INT(2600/(8*F11))</f>
        <v>2600</v>
      </c>
      <c r="H11" s="2">
        <f>2*INT(2160/(2*F11))</f>
        <v>2160</v>
      </c>
      <c r="I11" s="2" t="str">
        <f>"Input range from 8 to "&amp;G11&amp;",and is an integer multiple of 8"</f>
        <v>Input range from 8 to 2600,and is an integer multiple of 8</v>
      </c>
      <c r="J11" s="2" t="str">
        <f>"Input range from 2 to "&amp;H11&amp;",and is an integer multiple of 2"</f>
        <v>Input range from 2 to 2160,and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8*INT(2600/(8*F12))</f>
        <v>1296</v>
      </c>
      <c r="H12" s="2">
        <f>2*INT(2160/(2*F12))</f>
        <v>1080</v>
      </c>
      <c r="I12" s="2" t="str">
        <f>"Input range from 8 to "&amp;G12&amp;",and is an integer multiple of 8"</f>
        <v>Input range from 8 to 1296,and is an integer multiple of 8</v>
      </c>
      <c r="J12" s="2" t="str">
        <f>"Input range from 2 to "&amp;H12&amp;",and is an integer multiple of 2"</f>
        <v>Input range from 2 to 1080,and is an integer multiple of 2</v>
      </c>
    </row>
    <row r="13" spans="1:10" ht="14.25" customHeight="1">
      <c r="A13" s="3" t="s">
        <v>178</v>
      </c>
      <c r="B13" s="7">
        <v>36</v>
      </c>
      <c r="C13" s="2"/>
      <c r="D13" s="2"/>
      <c r="E13" s="2"/>
      <c r="F13" s="2">
        <v>4</v>
      </c>
      <c r="G13" s="2">
        <f>8*INT(2600/(8*F13))</f>
        <v>648</v>
      </c>
      <c r="H13" s="2">
        <f>2*INT(2160/(2*F13))</f>
        <v>540</v>
      </c>
      <c r="I13" s="2" t="str">
        <f>"Input range from 8 to "&amp;G13&amp;",and is an integer multiple of 8"</f>
        <v>Input range from 8 to 648,and is an integer multiple of 8</v>
      </c>
      <c r="J13" s="2" t="str">
        <f>"Input range from 2 to "&amp;H13&amp;",and is an integer multiple of 2"</f>
        <v>Input range from 2 to 540,and is an integer multiple of 2</v>
      </c>
    </row>
    <row r="14" spans="1:10" ht="18" hidden="1" customHeight="1">
      <c r="A14" s="6" t="s">
        <v>285</v>
      </c>
      <c r="B14" s="7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275</v>
      </c>
      <c r="B15" s="7">
        <v>14</v>
      </c>
      <c r="C15" s="2"/>
      <c r="D15" s="2"/>
      <c r="E15" s="2"/>
      <c r="F15" s="2"/>
      <c r="G15" s="2">
        <f>2600/B6</f>
        <v>2600</v>
      </c>
      <c r="H15" s="2">
        <f>2160/B7</f>
        <v>2160</v>
      </c>
      <c r="I15" s="2"/>
      <c r="J15" s="2"/>
    </row>
    <row r="16" spans="1:10" ht="18" hidden="1" customHeight="1">
      <c r="A16" s="6" t="s">
        <v>286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287</v>
      </c>
      <c r="B17" s="7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288</v>
      </c>
      <c r="B18" s="7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289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290</v>
      </c>
      <c r="B20" s="7">
        <f>ROUNDUP(1000*B14/60,0)+8*ROUNDUP(1000*B14*5/60,0)</f>
        <v>103870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291</v>
      </c>
      <c r="B21" s="7">
        <f>ROUNDUP(5*B14/60*1000,0)</f>
        <v>12667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292</v>
      </c>
      <c r="B22" s="7">
        <f>ROUNDUP((1000*B8-1000*B17/60)/1000,0)</f>
        <v>19999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293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294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295</v>
      </c>
      <c r="B25" s="9">
        <f>ROUNDUP(((B3*B5+B15+B19)*B21+B20)/1000,0)</f>
        <v>27655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296</v>
      </c>
      <c r="B26" s="10">
        <f>ROUNDUP(B8+B9-B17/60+2*B21/1000+B20/1000,0)</f>
        <v>20128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297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298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299</v>
      </c>
      <c r="B29" s="7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300</v>
      </c>
      <c r="B30" s="7">
        <f>B2*B3*IF(B10=8,1,2)</f>
        <v>5616000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301</v>
      </c>
      <c r="B31" s="7">
        <f>52+32+B30</f>
        <v>5616084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302</v>
      </c>
      <c r="B32" s="10">
        <f>ROUNDUP(MAX((B31*1000000/B11),B31*10/B29),0)</f>
        <v>18721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27655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4" t="s">
        <v>180</v>
      </c>
      <c r="B34" s="164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36.159826432833121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/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password="DE11" sheet="1" objects="1" selectLockedCells="1"/>
  <mergeCells count="1">
    <mergeCell ref="A34:B34"/>
  </mergeCells>
  <phoneticPr fontId="21" type="noConversion"/>
  <conditionalFormatting sqref="B2">
    <cfRule type="cellIs" dxfId="108" priority="5" operator="notBetween">
      <formula>8</formula>
      <formula>$G$7</formula>
    </cfRule>
    <cfRule type="cellIs" dxfId="107" priority="6" operator="notBetween">
      <formula>8</formula>
      <formula>$G$15</formula>
    </cfRule>
  </conditionalFormatting>
  <conditionalFormatting sqref="B3">
    <cfRule type="cellIs" dxfId="106" priority="7" operator="notBetween">
      <formula>2</formula>
      <formula>$H$7</formula>
    </cfRule>
    <cfRule type="cellIs" dxfId="105" priority="8" operator="notBetween">
      <formula>2</formula>
      <formula>$H$15</formula>
    </cfRule>
  </conditionalFormatting>
  <conditionalFormatting sqref="B4">
    <cfRule type="expression" dxfId="104" priority="4">
      <formula>AND(B6&gt;1,B4&gt;1)</formula>
    </cfRule>
  </conditionalFormatting>
  <conditionalFormatting sqref="B5">
    <cfRule type="expression" dxfId="103" priority="2">
      <formula>AND(B5&gt;1,B7&gt;1)</formula>
    </cfRule>
  </conditionalFormatting>
  <conditionalFormatting sqref="B6">
    <cfRule type="expression" dxfId="102" priority="3">
      <formula>AND(B6&gt;1,B4&gt;1)</formula>
    </cfRule>
  </conditionalFormatting>
  <conditionalFormatting sqref="B7">
    <cfRule type="expression" dxfId="101" priority="1">
      <formula>AND(B5&gt;1,B7&gt;1)</formula>
    </cfRule>
  </conditionalFormatting>
  <dataValidations count="9"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1C00-000000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1C00-000001000000}">
      <formula1>"on,off"</formula1>
    </dataValidation>
    <dataValidation type="list" allowBlank="1" showInputMessage="1" showErrorMessage="1" errorTitle="Input parameter error" error="Input 8 or 12" sqref="B10" xr:uid="{00000000-0002-0000-1C00-000002000000}">
      <formula1>"8,12"</formula1>
    </dataValidation>
    <dataValidation type="custom" allowBlank="1" showInputMessage="1" showErrorMessage="1" errorTitle="Input parameter error" error="Input parameter is out of range or cannot be divided by 8" sqref="B2" xr:uid="{00000000-0002-0000-1C00-000003000000}">
      <formula1>AND(MOD(B2,8)=0,B2&gt;=8,B2&lt;=2600/B4,B2&lt;=2600/B6)</formula1>
    </dataValidation>
    <dataValidation type="custom" allowBlank="1" showInputMessage="1" showErrorMessage="1" errorTitle="Input parameter error" error="Input parameter is out of range or cannot be divided by 2" sqref="B3" xr:uid="{00000000-0002-0000-1C00-000004000000}">
      <formula1>AND(MOD(B3,2)=0,B3&gt;=2,B3&lt;=2160/B5,B3&lt;=2160/B7)</formula1>
    </dataValidation>
    <dataValidation type="custom" allowBlank="1" showInputMessage="1" showErrorMessage="1" errorTitle="参数输入错误" error="输入范围为0.1-10000，步进值为0.1" sqref="B13" xr:uid="{00000000-0002-0000-1C00-000005000000}">
      <formula1>AND(MOD(10*B13,1)=0,B13&gt;=0.1,B13&lt;=10000)</formula1>
    </dataValidation>
    <dataValidation type="whole" allowBlank="1" showInputMessage="1" showErrorMessage="1" errorTitle="Input parameter error" error="Input range from 11 to 1000000" sqref="B8" xr:uid="{00000000-0002-0000-1C00-000006000000}">
      <formula1>11</formula1>
      <formula2>1000000</formula2>
    </dataValidation>
    <dataValidation type="whole" allowBlank="1" showInputMessage="1" showErrorMessage="1" errorTitle="Input parameter error" error="Input range from 0 to 5000" sqref="B9" xr:uid="{00000000-0002-0000-1C00-000007000000}">
      <formula1>0</formula1>
      <formula2>5000</formula2>
    </dataValidation>
    <dataValidation type="list" allowBlank="1" showInputMessage="1" showErrorMessage="1" errorTitle="Input parameter error" error="Input range is 1,2,4" sqref="B4:B7" xr:uid="{00000000-0002-0000-1C00-000008000000}">
      <formula1>"1,2,4"</formula1>
    </dataValidation>
  </dataValidations>
  <pageMargins left="0.7" right="0.7" top="0.75" bottom="0.75" header="0.3" footer="0.3"/>
  <pageSetup paperSize="9" orientation="portrait" horizontalDpi="1200" verticalDpi="12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workbookViewId="0">
      <selection activeCell="B10" sqref="B10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720</v>
      </c>
      <c r="C2" s="5" t="str">
        <f>IF(OR(B2&gt;720/B4,B2&lt;8),LOOKUP(B4,F3:F5,I3:I5),IF(OR(B2&gt;720/B6,B2&lt;8),LOOKUP(B6,F10:F12,I10:I12),""))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540</v>
      </c>
      <c r="C3" s="5" t="str">
        <f>IF(OR(B3&gt;720/B5,B3&lt;2),LOOKUP(B5,F3:F5,J3:J5),IF(OR(B3&gt;720/B7,B3&lt;2),LOOKUP(B7,F10:F12,J10:J12),""))</f>
        <v/>
      </c>
      <c r="D3" s="2"/>
      <c r="E3" s="2"/>
      <c r="F3" s="2">
        <v>1</v>
      </c>
      <c r="G3" s="2">
        <v>720</v>
      </c>
      <c r="H3" s="2">
        <v>540</v>
      </c>
      <c r="I3" s="2" t="s">
        <v>185</v>
      </c>
      <c r="J3" s="2" t="s">
        <v>186</v>
      </c>
    </row>
    <row r="4" spans="1:10">
      <c r="A4" s="6" t="s">
        <v>187</v>
      </c>
      <c r="B4" s="7">
        <v>1</v>
      </c>
      <c r="C4" s="5"/>
      <c r="D4" s="2"/>
      <c r="E4" s="2"/>
      <c r="F4" s="2">
        <v>2</v>
      </c>
      <c r="G4" s="2">
        <v>360</v>
      </c>
      <c r="H4" s="2">
        <v>270</v>
      </c>
      <c r="I4" s="2" t="s">
        <v>188</v>
      </c>
      <c r="J4" s="2" t="s">
        <v>189</v>
      </c>
    </row>
    <row r="5" spans="1:10">
      <c r="A5" s="6" t="s">
        <v>190</v>
      </c>
      <c r="B5" s="7">
        <v>1</v>
      </c>
      <c r="C5" s="5"/>
      <c r="D5" s="2"/>
      <c r="E5" s="2"/>
      <c r="F5" s="2">
        <v>4</v>
      </c>
      <c r="G5" s="2">
        <v>176</v>
      </c>
      <c r="H5" s="2">
        <v>134</v>
      </c>
      <c r="I5" s="2" t="s">
        <v>191</v>
      </c>
      <c r="J5" s="2" t="s">
        <v>192</v>
      </c>
    </row>
    <row r="6" spans="1:10">
      <c r="A6" s="6" t="s">
        <v>193</v>
      </c>
      <c r="B6" s="7">
        <v>1</v>
      </c>
      <c r="C6" s="5" t="str">
        <f>IF(AND(B6&gt;1,B4&gt;1),"The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IF(AND(B7&gt;1,B5&gt;1),"The vertical binning and skipping are not set to be greater than 2 at the same time","")</f>
        <v/>
      </c>
      <c r="D7" s="2"/>
      <c r="E7" s="2"/>
      <c r="F7" s="2"/>
      <c r="G7" s="2">
        <v>720</v>
      </c>
      <c r="H7" s="2">
        <v>540</v>
      </c>
      <c r="I7" s="2"/>
      <c r="J7" s="2"/>
    </row>
    <row r="8" spans="1:10">
      <c r="A8" s="6" t="s">
        <v>196</v>
      </c>
      <c r="B8" s="7" t="s">
        <v>197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168</v>
      </c>
      <c r="B9" s="7">
        <v>10000</v>
      </c>
      <c r="C9" s="5" t="str">
        <f>IF(AND(B8="UltraShort",B9&gt;100),"exposure time of ultrashort should not be more than 100us!",IF(AND(B8="Standard",B9&lt;20),"exposure time of standard should not be less than 20us!",""))</f>
        <v/>
      </c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199</v>
      </c>
      <c r="B10" s="7">
        <v>0</v>
      </c>
      <c r="C10" s="2"/>
      <c r="D10" s="2"/>
      <c r="E10" s="2"/>
      <c r="F10" s="2">
        <v>1</v>
      </c>
      <c r="G10" s="2">
        <v>720</v>
      </c>
      <c r="H10" s="2">
        <v>540</v>
      </c>
      <c r="I10" s="2" t="s">
        <v>185</v>
      </c>
      <c r="J10" s="2" t="s">
        <v>186</v>
      </c>
    </row>
    <row r="11" spans="1:10">
      <c r="A11" s="3" t="s">
        <v>200</v>
      </c>
      <c r="B11" s="7">
        <v>8</v>
      </c>
      <c r="C11" s="2"/>
      <c r="D11" s="2"/>
      <c r="E11" s="2"/>
      <c r="F11" s="2">
        <v>2</v>
      </c>
      <c r="G11" s="2">
        <v>360</v>
      </c>
      <c r="H11" s="2">
        <v>270</v>
      </c>
      <c r="I11" s="2" t="s">
        <v>188</v>
      </c>
      <c r="J11" s="2" t="s">
        <v>189</v>
      </c>
    </row>
    <row r="12" spans="1:10">
      <c r="A12" s="3" t="s">
        <v>201</v>
      </c>
      <c r="B12" s="7" t="s">
        <v>202</v>
      </c>
      <c r="C12" s="5" t="str">
        <f>IF(AND(B11=F17,B12="Bpp12"),I17,IF(AND(B11=F18,B12&lt;&gt;"Bpp10"),I18,IF(AND(B11=F19,B12&lt;&gt;"Bpp12"),I19,"")))</f>
        <v/>
      </c>
      <c r="D12" s="2"/>
      <c r="E12" s="2"/>
      <c r="F12" s="2">
        <v>4</v>
      </c>
      <c r="G12" s="2">
        <v>176</v>
      </c>
      <c r="H12" s="2">
        <v>134</v>
      </c>
      <c r="I12" s="2" t="s">
        <v>191</v>
      </c>
      <c r="J12" s="2" t="s">
        <v>192</v>
      </c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/>
      <c r="H13" s="2"/>
      <c r="I13" s="2" t="s">
        <v>194</v>
      </c>
      <c r="J13" s="2"/>
    </row>
    <row r="14" spans="1:10" hidden="1">
      <c r="A14" s="3"/>
      <c r="B14" s="7"/>
      <c r="C14" s="2"/>
      <c r="D14" s="2"/>
      <c r="E14" s="2"/>
      <c r="F14" s="2"/>
      <c r="G14" s="2">
        <v>720</v>
      </c>
      <c r="H14" s="2">
        <v>540</v>
      </c>
      <c r="I14" s="2"/>
      <c r="J14" s="2"/>
    </row>
    <row r="15" spans="1:10" hidden="1">
      <c r="A15" s="3" t="s">
        <v>171</v>
      </c>
      <c r="B15" s="7">
        <f>IF(B8="Standard",MAX(ROUNDUP((B9-I28)/B18,0),1),IF(B9&gt;14,ROUNDUP((B9-I28),0),1))</f>
        <v>3073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172</v>
      </c>
      <c r="B16" s="7" t="str">
        <f>IF((B11&lt;=8),"1","2")</f>
        <v>1</v>
      </c>
      <c r="C16" s="2"/>
      <c r="D16" s="2"/>
      <c r="E16" s="2"/>
      <c r="F16" s="2" t="s">
        <v>203</v>
      </c>
      <c r="G16" s="2" t="s">
        <v>204</v>
      </c>
      <c r="H16" s="2"/>
      <c r="I16" s="2"/>
      <c r="J16" s="2"/>
    </row>
    <row r="17" spans="1:10" hidden="1">
      <c r="A17" s="3" t="s">
        <v>173</v>
      </c>
      <c r="B17" s="7">
        <f>B2*B3*B16+84</f>
        <v>388884</v>
      </c>
      <c r="C17" s="5"/>
      <c r="D17" s="2"/>
      <c r="E17" s="2"/>
      <c r="F17" s="2">
        <v>8</v>
      </c>
      <c r="G17" s="2" t="s">
        <v>202</v>
      </c>
      <c r="H17" s="2" t="s">
        <v>205</v>
      </c>
      <c r="I17" s="2" t="s">
        <v>206</v>
      </c>
      <c r="J17" s="2"/>
    </row>
    <row r="18" spans="1:10" hidden="1">
      <c r="A18" s="3" t="s">
        <v>174</v>
      </c>
      <c r="B18" s="7">
        <f>ROUNDUP(I22/37.5*1000,10)/1000</f>
        <v>3.25</v>
      </c>
      <c r="D18" s="2"/>
      <c r="E18" s="2"/>
      <c r="F18" s="2">
        <v>10</v>
      </c>
      <c r="G18" s="2" t="s">
        <v>205</v>
      </c>
      <c r="H18" s="2"/>
      <c r="I18" s="2" t="s">
        <v>207</v>
      </c>
      <c r="J18" s="2"/>
    </row>
    <row r="19" spans="1:10" hidden="1">
      <c r="A19" s="3" t="s">
        <v>175</v>
      </c>
      <c r="B19" s="7">
        <f>IF(B8="Standard",(B3*B7+42)*B18,ROUNDUP((B3*B7+42)*B18,0)+10)</f>
        <v>1891.5</v>
      </c>
      <c r="D19" s="2"/>
      <c r="E19" s="2"/>
      <c r="F19" s="2">
        <v>12</v>
      </c>
      <c r="G19" s="2" t="s">
        <v>208</v>
      </c>
      <c r="H19" s="2"/>
      <c r="I19" s="2" t="s">
        <v>209</v>
      </c>
      <c r="J19" s="2"/>
    </row>
    <row r="20" spans="1:10">
      <c r="A20" s="3" t="s">
        <v>176</v>
      </c>
      <c r="B20" s="7" t="s">
        <v>177</v>
      </c>
      <c r="F20" s="2"/>
      <c r="G20" s="2"/>
      <c r="H20" s="2"/>
      <c r="I20" s="2"/>
      <c r="J20" s="2"/>
    </row>
    <row r="21" spans="1:10">
      <c r="A21" s="3" t="s">
        <v>178</v>
      </c>
      <c r="B21" s="7">
        <v>528</v>
      </c>
      <c r="F21" s="2"/>
      <c r="G21" s="2"/>
      <c r="H21" s="2"/>
      <c r="I21" s="2"/>
      <c r="J21" s="2"/>
    </row>
    <row r="22" spans="1:10" hidden="1">
      <c r="A22" s="6" t="s">
        <v>179</v>
      </c>
      <c r="B22" s="95">
        <f>MAX(I24,I25,I26,I27)</f>
        <v>10046</v>
      </c>
      <c r="C22" s="19" t="str">
        <f>IF(OR(B3&gt;1080/B7,B3&lt;2,AND(B3&lt;&gt;540,B5=2),B2&gt;1440/B6,B2&lt;16,AND(B2&lt;&gt;720,B4=2),),I6,"")</f>
        <v/>
      </c>
      <c r="F22" s="2"/>
      <c r="G22" s="2"/>
      <c r="H22" s="2" t="s">
        <v>210</v>
      </c>
      <c r="I22" s="2">
        <f>IF(AND(B11=8,B12="Bpp8"),121.875,IF(B11=12,200.625,147.1875))</f>
        <v>121.875</v>
      </c>
      <c r="J22" s="2"/>
    </row>
    <row r="23" spans="1:10">
      <c r="A23" s="155" t="s">
        <v>180</v>
      </c>
      <c r="B23" s="156"/>
      <c r="F23" s="2"/>
      <c r="G23" s="2"/>
      <c r="H23" s="2"/>
      <c r="I23" s="2"/>
      <c r="J23" s="2"/>
    </row>
    <row r="24" spans="1:10" ht="22.5">
      <c r="A24" s="11" t="s">
        <v>181</v>
      </c>
      <c r="B24" s="12">
        <f>1000000/B22</f>
        <v>99.542106310969544</v>
      </c>
      <c r="F24" s="2"/>
      <c r="G24" s="2"/>
      <c r="H24" s="2" t="s">
        <v>211</v>
      </c>
      <c r="I24" s="2">
        <f>IF(B8="Standard",ROUNDUP((B15+18)*B18,0)+ROUNDUP(B10/B18,0)*B18,B15+ROUNDUP((B3*B7+42)*B18+10,0)+B10+ROUNDUP(I28,0))</f>
        <v>10046</v>
      </c>
      <c r="J24" s="2"/>
    </row>
    <row r="25" spans="1:10">
      <c r="H25" t="s">
        <v>212</v>
      </c>
      <c r="I25" s="2">
        <f>IF(B8="Standard",ROUNDUP((B3*B7+42)*B18,0),ROUNDUP((B3*B7+42)*B18,0)+10)</f>
        <v>1892</v>
      </c>
    </row>
    <row r="26" spans="1:10">
      <c r="H26" s="2" t="s">
        <v>213</v>
      </c>
      <c r="I26">
        <f>IF(B8="Standard",ROUNDUP(ROUNDUP(B17*1000000/B13/B18,0)*B18,0),ROUNDUP(B17*1000000/B13,0))</f>
        <v>1297</v>
      </c>
    </row>
    <row r="27" spans="1:10">
      <c r="H27" s="2" t="s">
        <v>214</v>
      </c>
      <c r="I27">
        <f>IF(B8="Standard",ROUNDUP(B18*(IF(B20="off",0,1))*ROUNDUP(1000*1000/(B18*B21),0),0),(IF(B20="off",0,1))*ROUNDUP(1000*1000/B21,0))</f>
        <v>0</v>
      </c>
    </row>
    <row r="28" spans="1:10">
      <c r="H28" s="2" t="s">
        <v>215</v>
      </c>
      <c r="I28">
        <f>IF(AND(B8="UltraShort",B9&lt;=13),13.31,14.26)</f>
        <v>14.26</v>
      </c>
    </row>
  </sheetData>
  <sheetProtection algorithmName="SHA-512" hashValue="2Q+KCF1whbmtRw7X30hk4Jwk09HM/++CqL+bXqRgN1aff/KLfb2zPQ0gWJDmlEcJ9mqzy54kf1DpoidPr9FNhw==" saltValue="ebJNA+kXLxJx7IhcBVX4iw==" spinCount="100000" sheet="1" objects="1" scenarios="1" selectLockedCells="1"/>
  <mergeCells count="2">
    <mergeCell ref="A1:B1"/>
    <mergeCell ref="A23:B23"/>
  </mergeCells>
  <phoneticPr fontId="21" type="noConversion"/>
  <conditionalFormatting sqref="B2">
    <cfRule type="cellIs" dxfId="248" priority="2" operator="notBetween">
      <formula>8</formula>
      <formula>$G$14</formula>
    </cfRule>
    <cfRule type="cellIs" dxfId="247" priority="4" operator="notBetween">
      <formula>8</formula>
      <formula>$G$7</formula>
    </cfRule>
  </conditionalFormatting>
  <conditionalFormatting sqref="B3">
    <cfRule type="cellIs" dxfId="246" priority="1" operator="notBetween">
      <formula>2</formula>
      <formula>$H$7</formula>
    </cfRule>
    <cfRule type="cellIs" dxfId="245" priority="3" operator="notBetween">
      <formula>2</formula>
      <formula>$H$14</formula>
    </cfRule>
  </conditionalFormatting>
  <conditionalFormatting sqref="B6">
    <cfRule type="expression" dxfId="244" priority="5">
      <formula>AND(#REF!&gt;1,B6&gt;1)</formula>
    </cfRule>
  </conditionalFormatting>
  <conditionalFormatting sqref="B7">
    <cfRule type="expression" dxfId="243" priority="6">
      <formula>AND(B7&gt;1,#REF!&gt;1)</formula>
    </cfRule>
  </conditionalFormatting>
  <dataValidations count="11">
    <dataValidation type="custom" allowBlank="1" showInputMessage="1" showErrorMessage="1" errorTitle="Input parameter error" error="Input parameter error,Input range from 8 to 720,and is an integer multiple of 8" sqref="B2" xr:uid="{00000000-0002-0000-0200-000000000000}">
      <formula1>AND(MOD(B2,8)=0,B2&gt;=8,B2&lt;=720)</formula1>
    </dataValidation>
    <dataValidation type="custom" allowBlank="1" showInputMessage="1" showErrorMessage="1" errorTitle="Input parameter error" error="Input parameter error,Input range from 2 to 540,and is an integer multiple of 2" sqref="B3" xr:uid="{00000000-0002-0000-0200-000001000000}">
      <formula1>AND(MOD(B3,2)=0,B3&gt;=2,B3&lt;=540)</formula1>
    </dataValidation>
    <dataValidation type="list" allowBlank="1" showInputMessage="1" showErrorMessage="1" errorTitle="Input parameter error" error="Input Standard or UltraShort" sqref="B8" xr:uid="{00000000-0002-0000-0200-000002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3" xr:uid="{00000000-0002-0000-0200-000003000000}">
      <formula1>OR(AND(B11=8,B13&gt;=35000000,B13&lt;=400000000,MOD(B13,1000000)=0),AND(OR(B11=10,B11=12),B13&gt;=70000000,B13&lt;=400000000,MOD(B13,1000000)=0))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 xr:uid="{00000000-0002-0000-0200-000004000000}">
      <formula1>OR(AND(B8="UltraShort",B9&gt;=1,B9&lt;=100),AND(B8="Standard",B9&gt;=20,B9&lt;=1000000))</formula1>
    </dataValidation>
    <dataValidation type="whole" allowBlank="1" showInputMessage="1" showErrorMessage="1" error="range is from 0 to 5000us" sqref="B10" xr:uid="{00000000-0002-0000-0200-000005000000}">
      <formula1>0</formula1>
      <formula2>5000</formula2>
    </dataValidation>
    <dataValidation type="list" allowBlank="1" showInputMessage="1" showErrorMessage="1" errorTitle="Input parameter error" error="Input 8 or 10 or 12" sqref="B11" xr:uid="{00000000-0002-0000-0200-000006000000}">
      <formula1>"8,10,12"</formula1>
    </dataValidation>
    <dataValidation type="list" allowBlank="1" showInputMessage="1" showErrorMessage="1" errorTitle="Input parameter error" error="Input Bpp8 or Bpp10 or Bpp12" sqref="B12" xr:uid="{00000000-0002-0000-0200-000007000000}">
      <formula1>"Bpp8,Bpp10,Bpp12"</formula1>
    </dataValidation>
    <dataValidation type="list" allowBlank="1" showInputMessage="1" showErrorMessage="1" errorTitle="Input parameter error" error="Input on or off" sqref="B20" xr:uid="{00000000-0002-0000-0200-000008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0200-000009000000}">
      <formula1>AND(MOD(10*B21,1)=0,B21&gt;=0.1,B21&lt;=10000)</formula1>
    </dataValidation>
    <dataValidation type="list" allowBlank="1" showInputMessage="1" showErrorMessage="1" errorTitle="Input parameter error" error="Input range is 1,2,4" sqref="B4:B7" xr:uid="{00000000-0002-0000-0200-00000A000000}">
      <formula1>"1,2,4"</formula1>
    </dataValidation>
  </dataValidations>
  <pageMargins left="0.7" right="0.7" top="0.75" bottom="0.75" header="0.3" footer="0.3"/>
  <pageSetup paperSize="9" orientation="portrait" horizontalDpi="1200" verticalDpi="120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44"/>
  <sheetViews>
    <sheetView workbookViewId="0">
      <selection activeCell="B2" sqref="B2"/>
    </sheetView>
  </sheetViews>
  <sheetFormatPr defaultColWidth="9" defaultRowHeight="15"/>
  <cols>
    <col min="1" max="1" width="36.85546875" customWidth="1"/>
    <col min="2" max="2" width="40.28515625" customWidth="1"/>
    <col min="3" max="3" width="31.42578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2600</v>
      </c>
      <c r="C2" s="5" t="str">
        <f>IF(OR(B2&gt;2600/B4,B2&lt;16),LOOKUP(B4,F3:F5,I3:I5),IF(OR(B2&gt;2600/B6,B2&lt;16),LOOKUP(B6,F12:F14,I12:I14),""))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2160</v>
      </c>
      <c r="C3" s="5" t="str">
        <f>IF(OR(B3&gt;2160/B5,B3&lt;2),LOOKUP(B5,F3:F5,J3:J5),IF(OR(B3&gt;2160/B7,B3&lt;2),LOOKUP(B7,F12:F14,J11:J13),""))</f>
        <v/>
      </c>
      <c r="D3" s="2"/>
      <c r="E3" s="2"/>
      <c r="F3" s="2">
        <v>1</v>
      </c>
      <c r="G3" s="2">
        <f>8*INT(2600/(8*F3))</f>
        <v>2600</v>
      </c>
      <c r="H3" s="2">
        <f>2*INT(2160/(2*F3))</f>
        <v>2160</v>
      </c>
      <c r="I3" s="2" t="str">
        <f>"Input range from 16 to "&amp;G3&amp;",and is an integer multiple of 8"</f>
        <v>Input range from 16 to 2600,and is an integer multiple of 8</v>
      </c>
      <c r="J3" s="2" t="str">
        <f>"Input range from 2 to "&amp;H3&amp;",and is an integer multiple of 2"</f>
        <v>Input range from 2 to 2160,and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8*INT(2600/(8*F4))</f>
        <v>1296</v>
      </c>
      <c r="H4" s="2">
        <f>2*INT(2160/(2*F4))</f>
        <v>1080</v>
      </c>
      <c r="I4" s="2" t="str">
        <f>"Input range from 16 to "&amp;G4&amp;",and is an integer multiple of 8"</f>
        <v>Input range from 16 to 1296,and is an integer multiple of 8</v>
      </c>
      <c r="J4" s="2" t="str">
        <f>"Input range from 2 to "&amp;H4&amp;",and is an integer multiple of 2"</f>
        <v>Input range from 2 to 1080,and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8*INT(2600/(8*F5))</f>
        <v>648</v>
      </c>
      <c r="H5" s="2">
        <f>2*INT(2160/(2*F5))</f>
        <v>540</v>
      </c>
      <c r="I5" s="2" t="str">
        <f>"Input range from 16 to "&amp;G5&amp;",and is an integer multiple of 8"</f>
        <v>Input range from 16 to 648,and is an integer multiple of 8</v>
      </c>
      <c r="J5" s="2" t="str">
        <f>"Input range from 2 to "&amp;H5&amp;",and is an integer multiple of 2"</f>
        <v>Input range from 2 to 540,and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2600/B4</f>
        <v>2600</v>
      </c>
      <c r="H7" s="2">
        <f>2160/B5</f>
        <v>2160</v>
      </c>
      <c r="I7" s="2"/>
      <c r="J7" s="2"/>
    </row>
    <row r="8" spans="1:10">
      <c r="A8" s="3" t="s">
        <v>168</v>
      </c>
      <c r="B8" s="7">
        <v>10000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315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2160,and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8*INT(2600/(8*F11))</f>
        <v>2600</v>
      </c>
      <c r="H11" s="2">
        <f>2*INT(2160/(2*F11))</f>
        <v>2160</v>
      </c>
      <c r="I11" s="2" t="str">
        <f>"Input range from 16 to "&amp;G11&amp;",and is an integer multiple of 8"</f>
        <v>Input range from 16 to 2600,and is an integer multiple of 8</v>
      </c>
      <c r="J11" s="2" t="str">
        <f>"Input range from 2 to "&amp;H12&amp;",and is an integer multiple of 2"</f>
        <v>Input range from 2 to 1080,and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8*INT(2600/(8*F12))</f>
        <v>1296</v>
      </c>
      <c r="H12" s="2">
        <f>2*INT(2160/(2*F12))</f>
        <v>1080</v>
      </c>
      <c r="I12" s="2" t="str">
        <f>"Input range from 16 to "&amp;G12&amp;",and is an integer multiple of 8"</f>
        <v>Input range from 16 to 1296,and is an integer multiple of 8</v>
      </c>
      <c r="J12" s="2" t="str">
        <f>"Input range from 2 to "&amp;H13&amp;",and is an integer multiple of 2"</f>
        <v>Input range from 2 to 540,and is an integer multiple of 2</v>
      </c>
    </row>
    <row r="13" spans="1:10" ht="14.25" customHeight="1">
      <c r="A13" s="3" t="s">
        <v>178</v>
      </c>
      <c r="B13" s="7">
        <v>70</v>
      </c>
      <c r="C13" s="2"/>
      <c r="D13" s="2"/>
      <c r="E13" s="2"/>
      <c r="F13" s="2">
        <v>4</v>
      </c>
      <c r="G13" s="2">
        <f>8*INT(2600/(8*F13))</f>
        <v>648</v>
      </c>
      <c r="H13" s="2">
        <f>2*INT(2160/(2*F13))</f>
        <v>540</v>
      </c>
      <c r="I13" s="2" t="str">
        <f>"Input range from 16 to "&amp;G13&amp;",and is an integer multiple of 8"</f>
        <v>Input range from 16 to 648,and is an integer multiple of 8</v>
      </c>
      <c r="J13" s="2"/>
    </row>
    <row r="14" spans="1:10" ht="18" hidden="1" customHeight="1">
      <c r="A14" s="98" t="s">
        <v>285</v>
      </c>
      <c r="B14" s="99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98" t="s">
        <v>275</v>
      </c>
      <c r="B15" s="99">
        <v>15</v>
      </c>
      <c r="C15" s="2"/>
      <c r="D15" s="2"/>
      <c r="E15" s="2"/>
      <c r="F15" s="2"/>
      <c r="G15" s="2">
        <f>2600/B6</f>
        <v>2600</v>
      </c>
      <c r="H15" s="2">
        <f>2160/B7</f>
        <v>2160</v>
      </c>
      <c r="I15" s="2"/>
      <c r="J15" s="2"/>
    </row>
    <row r="16" spans="1:10" ht="18" hidden="1" customHeight="1">
      <c r="A16" s="98" t="s">
        <v>286</v>
      </c>
      <c r="B16" s="99">
        <v>3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98" t="s">
        <v>287</v>
      </c>
      <c r="B17" s="99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100" t="s">
        <v>288</v>
      </c>
      <c r="B18" s="99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100" t="s">
        <v>289</v>
      </c>
      <c r="B19" s="99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98" t="s">
        <v>290</v>
      </c>
      <c r="B20" s="99">
        <f>ROUNDUP(1000*B14/75,0)+8*ROUNDUP(1000*B14*3/75,0)</f>
        <v>50667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100" t="s">
        <v>291</v>
      </c>
      <c r="B21" s="99">
        <f>ROUNDUP(3*B14/75*1000,0)</f>
        <v>6080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100" t="s">
        <v>292</v>
      </c>
      <c r="B22" s="99">
        <f>ROUNDUP((1000*B8-1000*B17/75)/1000,0)</f>
        <v>9999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98" t="s">
        <v>293</v>
      </c>
      <c r="B23" s="99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98" t="s">
        <v>294</v>
      </c>
      <c r="B24" s="99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101" t="s">
        <v>295</v>
      </c>
      <c r="B25" s="102">
        <f>ROUNDUP(((B3*B5+B15+B19)*B21+B20)/1000,0)</f>
        <v>13281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100" t="s">
        <v>296</v>
      </c>
      <c r="B26" s="103">
        <f>ROUNDUP(B8+B9-B17/75+3*B21/1000+B20/1000,0)</f>
        <v>10068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100" t="s">
        <v>297</v>
      </c>
      <c r="B27" s="99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100" t="s">
        <v>298</v>
      </c>
      <c r="B28" s="103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98" t="s">
        <v>299</v>
      </c>
      <c r="B29" s="99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98" t="s">
        <v>300</v>
      </c>
      <c r="B30" s="99">
        <f>B2*B3*IF(B10=8,1,2)</f>
        <v>5616000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98" t="s">
        <v>301</v>
      </c>
      <c r="B31" s="99">
        <f>52+32+B30</f>
        <v>5616084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100" t="s">
        <v>302</v>
      </c>
      <c r="B32" s="103">
        <f>ROUNDUP(MAX((B31*1000000/B11),B31*10/B29),0)</f>
        <v>18721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98" t="s">
        <v>179</v>
      </c>
      <c r="B33" s="99">
        <f>MAX(B25,B26,B28,B32)+B24</f>
        <v>18721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4" t="s">
        <v>180</v>
      </c>
      <c r="B34" s="164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53.415950002670797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/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8ZawlbY7FpbHWNnsI3I+0ewCLr2s1455oJaR02vhsf4RUUJH1igO3mxOkFO9UusK2p71cJAINJMmC/jLIfJT7g==" saltValue="9F3bdVMqr5iHG88JKTEBYA==" spinCount="100000" sheet="1" objects="1" scenarios="1" selectLockedCells="1"/>
  <mergeCells count="1">
    <mergeCell ref="A34:B34"/>
  </mergeCells>
  <phoneticPr fontId="21" type="noConversion"/>
  <conditionalFormatting sqref="B2">
    <cfRule type="cellIs" dxfId="100" priority="5" operator="notBetween">
      <formula>8</formula>
      <formula>$G$7</formula>
    </cfRule>
    <cfRule type="cellIs" dxfId="99" priority="6" operator="notBetween">
      <formula>8</formula>
      <formula>$G$15</formula>
    </cfRule>
  </conditionalFormatting>
  <conditionalFormatting sqref="B3">
    <cfRule type="cellIs" dxfId="98" priority="7" operator="notBetween">
      <formula>2</formula>
      <formula>$H$7</formula>
    </cfRule>
    <cfRule type="cellIs" dxfId="97" priority="8" operator="notBetween">
      <formula>2</formula>
      <formula>$H$15</formula>
    </cfRule>
  </conditionalFormatting>
  <conditionalFormatting sqref="B4">
    <cfRule type="expression" dxfId="96" priority="4">
      <formula>AND(B6&gt;1,B4&gt;1)</formula>
    </cfRule>
  </conditionalFormatting>
  <conditionalFormatting sqref="B5">
    <cfRule type="expression" dxfId="95" priority="2">
      <formula>AND(B5&gt;1,B7&gt;1)</formula>
    </cfRule>
  </conditionalFormatting>
  <conditionalFormatting sqref="B6">
    <cfRule type="expression" dxfId="94" priority="3">
      <formula>AND(B6&gt;1,B4&gt;1)</formula>
    </cfRule>
  </conditionalFormatting>
  <conditionalFormatting sqref="B7">
    <cfRule type="expression" dxfId="93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8" sqref="B2" xr:uid="{00000000-0002-0000-1D00-000000000000}">
      <formula1>AND(MOD(B2,8)=0,B2&gt;=16,B2&lt;=2600/B4,B2&lt;=2600/B6)</formula1>
    </dataValidation>
    <dataValidation type="custom" allowBlank="1" showInputMessage="1" showErrorMessage="1" errorTitle="Input parameter error" error="Input parameter is out of range or cannot be divided by 2" sqref="B3" xr:uid="{00000000-0002-0000-1D00-000001000000}">
      <formula1>AND(MOD(B3,2)=0,B3&gt;=2,B3&lt;=2160/B5,B3&lt;=2160/B7)</formula1>
    </dataValidation>
    <dataValidation type="custom" allowBlank="1" showInputMessage="1" showErrorMessage="1" errorTitle="参数输入错误" error="输入范围为0.1-10000，步进值为0.1" sqref="B13" xr:uid="{00000000-0002-0000-1D00-000002000000}">
      <formula1>AND(MOD(10*B13,1)=0,B13&gt;=0.1,B13&lt;=10000)</formula1>
    </dataValidation>
    <dataValidation type="whole" allowBlank="1" showInputMessage="1" showErrorMessage="1" errorTitle="Input parameter error" error="Input range from 11 to 1000000" sqref="B8" xr:uid="{00000000-0002-0000-1D00-000003000000}">
      <formula1>11</formula1>
      <formula2>1000000</formula2>
    </dataValidation>
    <dataValidation type="whole" allowBlank="1" showInputMessage="1" showErrorMessage="1" errorTitle="Input parameter error" error="Input range from 0 to 5000" sqref="B9" xr:uid="{00000000-0002-0000-1D00-000004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1D00-000005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1D00-000006000000}">
      <formula1>"on,off"</formula1>
    </dataValidation>
    <dataValidation type="list" allowBlank="1" showInputMessage="1" showErrorMessage="1" errorTitle="Input parameter error" error="Input 8 or 12" sqref="B10" xr:uid="{00000000-0002-0000-1D00-000007000000}">
      <formula1>"8,12"</formula1>
    </dataValidation>
    <dataValidation type="list" allowBlank="1" showInputMessage="1" showErrorMessage="1" errorTitle="Input parameter error" error="Input range is 1,2,4" sqref="B4:B7" xr:uid="{00000000-0002-0000-1D00-000008000000}">
      <formula1>"1,2,4"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R33"/>
  <sheetViews>
    <sheetView workbookViewId="0">
      <selection activeCell="B2" sqref="B2"/>
    </sheetView>
  </sheetViews>
  <sheetFormatPr defaultColWidth="8.85546875" defaultRowHeight="15"/>
  <cols>
    <col min="1" max="1" width="36.85546875" style="22" customWidth="1"/>
    <col min="2" max="2" width="30" style="22" customWidth="1"/>
    <col min="3" max="3" width="101.85546875" style="22" customWidth="1"/>
    <col min="4" max="5" width="8.85546875" style="22"/>
    <col min="6" max="6" width="13.5703125" style="22" hidden="1" customWidth="1"/>
    <col min="7" max="8" width="9" style="22" hidden="1" customWidth="1"/>
    <col min="9" max="9" width="73.5703125" style="22" hidden="1" customWidth="1"/>
    <col min="10" max="10" width="64.85546875" style="22" hidden="1" customWidth="1"/>
    <col min="11" max="12" width="8.85546875" style="22" hidden="1" customWidth="1"/>
    <col min="13" max="13" width="21.42578125" style="22" hidden="1" customWidth="1"/>
    <col min="14" max="14" width="23.42578125" style="22" hidden="1" customWidth="1"/>
    <col min="15" max="16" width="8.85546875" style="22" hidden="1" customWidth="1"/>
    <col min="17" max="17" width="19.28515625" style="22" hidden="1" customWidth="1"/>
    <col min="18" max="18" width="8.85546875" style="22" hidden="1" customWidth="1"/>
    <col min="19" max="16384" width="8.85546875" style="22"/>
  </cols>
  <sheetData>
    <row r="1" spans="1:18">
      <c r="A1" s="153" t="s">
        <v>165</v>
      </c>
      <c r="B1" s="154"/>
      <c r="C1" s="23"/>
      <c r="M1" s="171" t="s">
        <v>263</v>
      </c>
      <c r="N1" s="172"/>
      <c r="O1" s="173"/>
    </row>
    <row r="2" spans="1:18">
      <c r="A2" s="24" t="s">
        <v>264</v>
      </c>
      <c r="B2" s="25">
        <v>3088</v>
      </c>
      <c r="C2" s="26" t="str">
        <f>IF(OR(B2&gt;3088/B4,B2&lt;16,MOD(B2,8)&lt;&gt;0),LOOKUP(B4,F3:F5,I3:I5),IF(OR(B2&gt;3088/B6,B2&lt;16,MOD(B2,8)&lt;&gt;0),LOOKUP(B6,F10:F12,I10:I12),""))</f>
        <v/>
      </c>
      <c r="F2" s="2" t="s">
        <v>182</v>
      </c>
      <c r="G2" s="2" t="s">
        <v>183</v>
      </c>
      <c r="H2" s="2" t="s">
        <v>184</v>
      </c>
      <c r="I2" s="2"/>
      <c r="J2" s="2"/>
      <c r="K2"/>
      <c r="M2" s="37" t="s">
        <v>166</v>
      </c>
      <c r="N2" s="37">
        <v>3088</v>
      </c>
      <c r="O2" s="37"/>
      <c r="Q2" s="46" t="s">
        <v>355</v>
      </c>
      <c r="R2" s="47">
        <f>IF(C13="Rolling",8,15)</f>
        <v>15</v>
      </c>
    </row>
    <row r="3" spans="1:18">
      <c r="A3" s="24" t="s">
        <v>265</v>
      </c>
      <c r="B3" s="25">
        <v>2064</v>
      </c>
      <c r="C3" s="26" t="str">
        <f>IF(OR(B3&gt;2064/B5,B3&lt;2,MOD(B3,2)&lt;&gt;0),LOOKUP(B5,F3:F5,J3:J5),IF(OR(B3&gt;2064/B7,B3&lt;2,MOD(B3,2)&lt;&gt;0),LOOKUP(B7,F10:F12,J10:J12),""))</f>
        <v/>
      </c>
      <c r="F3" s="2">
        <v>1</v>
      </c>
      <c r="G3" s="2">
        <v>3088</v>
      </c>
      <c r="H3" s="2">
        <v>2064</v>
      </c>
      <c r="I3" s="2" t="s">
        <v>356</v>
      </c>
      <c r="J3" s="2" t="s">
        <v>357</v>
      </c>
      <c r="K3"/>
      <c r="M3" s="37" t="s">
        <v>167</v>
      </c>
      <c r="N3" s="37">
        <f>B3</f>
        <v>2064</v>
      </c>
      <c r="O3" s="37"/>
      <c r="Q3" s="46" t="s">
        <v>355</v>
      </c>
      <c r="R3" s="47">
        <f>IF(C13="Rolling",1000000,200000)</f>
        <v>200000</v>
      </c>
    </row>
    <row r="4" spans="1:18">
      <c r="A4" s="6" t="s">
        <v>187</v>
      </c>
      <c r="B4" s="7">
        <v>1</v>
      </c>
      <c r="C4" s="26" t="str">
        <f>IF(AND(B4&gt;1,B6&gt;1),"The binning and skipping levels are not set to be greater than 2 at the same time","")</f>
        <v/>
      </c>
      <c r="F4" s="2">
        <v>2</v>
      </c>
      <c r="G4" s="2">
        <v>1544</v>
      </c>
      <c r="H4" s="2">
        <v>1032</v>
      </c>
      <c r="I4" s="2" t="s">
        <v>358</v>
      </c>
      <c r="J4" s="2" t="s">
        <v>359</v>
      </c>
      <c r="K4"/>
      <c r="M4" s="171" t="s">
        <v>266</v>
      </c>
      <c r="N4" s="172"/>
      <c r="O4" s="173"/>
    </row>
    <row r="5" spans="1:18">
      <c r="A5" s="6" t="s">
        <v>190</v>
      </c>
      <c r="B5" s="7">
        <v>1</v>
      </c>
      <c r="C5" s="26" t="str">
        <f>IF(AND(B5&gt;1,B7&gt;1),"The binning and skipping levels are not set to be greater than 2 at the same time","")</f>
        <v/>
      </c>
      <c r="F5" s="2">
        <v>4</v>
      </c>
      <c r="G5" s="2">
        <v>768</v>
      </c>
      <c r="H5" s="2">
        <v>516</v>
      </c>
      <c r="I5" s="2" t="s">
        <v>360</v>
      </c>
      <c r="J5" s="2" t="s">
        <v>361</v>
      </c>
      <c r="K5"/>
      <c r="M5" s="37" t="s">
        <v>166</v>
      </c>
      <c r="N5" s="37">
        <v>3088</v>
      </c>
      <c r="O5" s="37"/>
    </row>
    <row r="6" spans="1:18">
      <c r="A6" s="6" t="s">
        <v>193</v>
      </c>
      <c r="B6" s="7">
        <v>1</v>
      </c>
      <c r="C6" s="27"/>
      <c r="F6" s="2"/>
      <c r="G6" s="2"/>
      <c r="H6" s="2"/>
      <c r="I6" s="2" t="s">
        <v>194</v>
      </c>
      <c r="J6" s="2"/>
      <c r="K6"/>
      <c r="M6" s="37" t="s">
        <v>167</v>
      </c>
      <c r="N6" s="37">
        <f>IF(B5*B7*N3&gt;=320,B5*B7*N3,320)</f>
        <v>2064</v>
      </c>
      <c r="O6" s="37"/>
    </row>
    <row r="7" spans="1:18">
      <c r="A7" s="6" t="s">
        <v>195</v>
      </c>
      <c r="B7" s="7">
        <v>1</v>
      </c>
      <c r="C7" s="27"/>
      <c r="F7" s="2"/>
      <c r="G7" s="2">
        <v>2448</v>
      </c>
      <c r="H7" s="2">
        <v>2048</v>
      </c>
      <c r="I7" s="2"/>
      <c r="J7" s="2"/>
      <c r="K7"/>
      <c r="M7" s="171"/>
      <c r="N7" s="172"/>
      <c r="O7" s="173"/>
    </row>
    <row r="8" spans="1:18">
      <c r="A8" s="28" t="s">
        <v>168</v>
      </c>
      <c r="B8" s="29">
        <v>10000</v>
      </c>
      <c r="C8" s="23"/>
      <c r="F8" s="2"/>
      <c r="G8" s="2"/>
      <c r="H8" s="2"/>
      <c r="I8" s="2"/>
      <c r="J8" s="2"/>
      <c r="K8"/>
      <c r="M8" s="37" t="s">
        <v>268</v>
      </c>
      <c r="N8" s="37">
        <f>IF(B10=8,7778,2*7778)</f>
        <v>7778</v>
      </c>
      <c r="O8" s="37" t="s">
        <v>269</v>
      </c>
    </row>
    <row r="9" spans="1:18">
      <c r="A9" s="3" t="s">
        <v>362</v>
      </c>
      <c r="B9" s="30">
        <v>0</v>
      </c>
      <c r="C9" s="23"/>
      <c r="F9" s="2" t="s">
        <v>198</v>
      </c>
      <c r="G9" s="2" t="s">
        <v>183</v>
      </c>
      <c r="H9" s="2" t="s">
        <v>184</v>
      </c>
      <c r="I9" s="2"/>
      <c r="J9" s="2"/>
      <c r="K9"/>
      <c r="M9" s="37" t="s">
        <v>270</v>
      </c>
      <c r="N9" s="37">
        <v>2000</v>
      </c>
      <c r="O9" s="37" t="s">
        <v>271</v>
      </c>
    </row>
    <row r="10" spans="1:18">
      <c r="A10" s="28" t="s">
        <v>169</v>
      </c>
      <c r="B10" s="29">
        <v>8</v>
      </c>
      <c r="C10" s="23"/>
      <c r="F10" s="2">
        <v>1</v>
      </c>
      <c r="G10" s="2">
        <v>3088</v>
      </c>
      <c r="H10" s="2">
        <v>2064</v>
      </c>
      <c r="I10" s="2" t="s">
        <v>356</v>
      </c>
      <c r="J10" s="2" t="s">
        <v>357</v>
      </c>
      <c r="K10"/>
      <c r="M10" s="37" t="s">
        <v>272</v>
      </c>
      <c r="N10" s="37">
        <v>28</v>
      </c>
      <c r="O10" s="37" t="s">
        <v>268</v>
      </c>
    </row>
    <row r="11" spans="1:18">
      <c r="A11" s="28" t="s">
        <v>170</v>
      </c>
      <c r="B11" s="29">
        <v>300000000</v>
      </c>
      <c r="C11" s="23"/>
      <c r="F11" s="2">
        <v>2</v>
      </c>
      <c r="G11" s="2">
        <v>1544</v>
      </c>
      <c r="H11" s="2">
        <v>1032</v>
      </c>
      <c r="I11" s="2" t="s">
        <v>358</v>
      </c>
      <c r="J11" s="2" t="s">
        <v>359</v>
      </c>
      <c r="K11"/>
      <c r="M11" s="37" t="s">
        <v>273</v>
      </c>
      <c r="N11" s="37">
        <v>7</v>
      </c>
      <c r="O11" s="37" t="s">
        <v>268</v>
      </c>
    </row>
    <row r="12" spans="1:18">
      <c r="A12" s="3" t="s">
        <v>363</v>
      </c>
      <c r="B12" s="31" t="s">
        <v>364</v>
      </c>
      <c r="C12" s="23"/>
      <c r="E12" s="32" t="s">
        <v>365</v>
      </c>
      <c r="F12" s="2">
        <v>4</v>
      </c>
      <c r="G12" s="2">
        <v>768</v>
      </c>
      <c r="H12" s="2">
        <v>516</v>
      </c>
      <c r="I12" s="2" t="s">
        <v>360</v>
      </c>
      <c r="J12" s="2" t="s">
        <v>361</v>
      </c>
      <c r="K12"/>
      <c r="M12" s="38" t="s">
        <v>274</v>
      </c>
      <c r="N12" s="37">
        <v>16</v>
      </c>
      <c r="O12" s="37" t="s">
        <v>268</v>
      </c>
    </row>
    <row r="13" spans="1:18">
      <c r="A13" s="28" t="s">
        <v>267</v>
      </c>
      <c r="B13" s="29" t="s">
        <v>177</v>
      </c>
      <c r="C13" s="23"/>
      <c r="F13" s="2"/>
      <c r="G13" s="2"/>
      <c r="H13" s="2"/>
      <c r="I13" s="2" t="s">
        <v>194</v>
      </c>
      <c r="J13" s="2"/>
      <c r="K13"/>
      <c r="M13" s="37" t="s">
        <v>275</v>
      </c>
      <c r="N13" s="37">
        <v>78</v>
      </c>
      <c r="O13" s="37" t="s">
        <v>268</v>
      </c>
    </row>
    <row r="14" spans="1:18">
      <c r="A14" s="28" t="s">
        <v>176</v>
      </c>
      <c r="B14" s="29" t="s">
        <v>177</v>
      </c>
      <c r="C14" s="23"/>
      <c r="M14" s="37" t="s">
        <v>276</v>
      </c>
      <c r="N14" s="37">
        <v>8</v>
      </c>
      <c r="O14" s="37" t="s">
        <v>268</v>
      </c>
    </row>
    <row r="15" spans="1:18">
      <c r="A15" s="28" t="s">
        <v>178</v>
      </c>
      <c r="B15" s="29">
        <v>60</v>
      </c>
      <c r="C15" s="23"/>
      <c r="M15" s="37" t="s">
        <v>277</v>
      </c>
      <c r="N15" s="37">
        <f>IF(B10=8,1,2)*B2*B3+84</f>
        <v>6373716</v>
      </c>
      <c r="O15" s="37" t="s">
        <v>278</v>
      </c>
    </row>
    <row r="16" spans="1:18" hidden="1">
      <c r="A16" s="33" t="s">
        <v>172</v>
      </c>
      <c r="B16" s="34" t="str">
        <f>IF((B10&lt;=8),"1","2")</f>
        <v>1</v>
      </c>
      <c r="C16" s="23"/>
      <c r="M16" s="171"/>
      <c r="N16" s="172"/>
      <c r="O16" s="173"/>
    </row>
    <row r="17" spans="1:15" hidden="1">
      <c r="A17" s="33" t="s">
        <v>173</v>
      </c>
      <c r="B17" s="34">
        <f>N15</f>
        <v>6373716</v>
      </c>
      <c r="C17" s="23"/>
      <c r="M17" s="39" t="s">
        <v>366</v>
      </c>
      <c r="N17" s="40">
        <f>ROUNDUP(B9*1000/N8,0)+2+N11+ROUNDUP(N9*1000/N8,0)+ROUNDUP(B8*1000/N8,0)+N18</f>
        <v>3695</v>
      </c>
      <c r="O17" s="41" t="s">
        <v>268</v>
      </c>
    </row>
    <row r="18" spans="1:15" hidden="1">
      <c r="A18" s="33" t="s">
        <v>174</v>
      </c>
      <c r="B18" s="34">
        <f>N8</f>
        <v>7778</v>
      </c>
      <c r="C18" s="23"/>
      <c r="M18" s="39" t="s">
        <v>353</v>
      </c>
      <c r="N18" s="40">
        <f>N10+MAX(N6+N13-N10,2+N11+ROUNDUP(1000*N9/N8,0))</f>
        <v>2142</v>
      </c>
      <c r="O18" s="41" t="s">
        <v>268</v>
      </c>
    </row>
    <row r="19" spans="1:15" hidden="1">
      <c r="A19" s="33" t="s">
        <v>175</v>
      </c>
      <c r="B19" s="34">
        <f>B20</f>
        <v>21248888.888888888</v>
      </c>
      <c r="C19" s="23"/>
      <c r="M19" s="39" t="s">
        <v>296</v>
      </c>
      <c r="N19" s="40">
        <f>ROUNDUP(B8*1000/N8,0)+N14</f>
        <v>1294</v>
      </c>
      <c r="O19" s="41" t="s">
        <v>268</v>
      </c>
    </row>
    <row r="20" spans="1:15" hidden="1">
      <c r="A20" s="33" t="s">
        <v>179</v>
      </c>
      <c r="B20" s="34">
        <f>N23</f>
        <v>21248888.888888888</v>
      </c>
      <c r="C20" s="23"/>
      <c r="M20" s="42" t="s">
        <v>367</v>
      </c>
      <c r="N20" s="40">
        <f>N18+N19+ROUNDUP(B9*1000/N8,0)+N12</f>
        <v>3452</v>
      </c>
      <c r="O20" s="41" t="s">
        <v>268</v>
      </c>
    </row>
    <row r="21" spans="1:15">
      <c r="A21" s="155" t="s">
        <v>180</v>
      </c>
      <c r="B21" s="156"/>
      <c r="C21" s="23"/>
      <c r="M21" s="39" t="s">
        <v>298</v>
      </c>
      <c r="N21" s="43">
        <f>ROUNDUP(((1000000000/B15)/N8)*IF(B14="on",1,0),0)</f>
        <v>0</v>
      </c>
      <c r="O21" s="41" t="s">
        <v>268</v>
      </c>
    </row>
    <row r="22" spans="1:15" ht="22.5">
      <c r="A22" s="35" t="s">
        <v>181</v>
      </c>
      <c r="B22" s="36">
        <f>1000000000/B20</f>
        <v>47.061284250156874</v>
      </c>
      <c r="C22" s="23" t="str">
        <f>IF(OR(B3&gt;2064/B5,B3&gt;2064/B7,B3&lt;2,B2&gt;3088/B4,B2&gt;3088/B6,B2&lt;16),I6,"")</f>
        <v/>
      </c>
      <c r="M22" s="39" t="s">
        <v>302</v>
      </c>
      <c r="N22" s="43">
        <f>ROUNDUP((MAX((B17*1000000/B11),B17*10/3950)*1000/N8),0)</f>
        <v>2732</v>
      </c>
      <c r="O22" s="41" t="s">
        <v>268</v>
      </c>
    </row>
    <row r="23" spans="1:15">
      <c r="M23" s="44" t="s">
        <v>368</v>
      </c>
      <c r="N23" s="45">
        <f>IF(B12="GlobalReset",IF(B13="off",MAX(N17,N21,N22),MAX(N17,N21)),IF(B13="off",MAX(N18,N19,N21,N22),MAX(N20,N21)))*1000*IF(B10=8,420,840)/54</f>
        <v>21248888.888888888</v>
      </c>
      <c r="O23" s="44" t="s">
        <v>369</v>
      </c>
    </row>
    <row r="29" spans="1:15" hidden="1"/>
    <row r="30" spans="1:15" hidden="1"/>
    <row r="31" spans="1:15" hidden="1"/>
    <row r="32" spans="1:15" hidden="1"/>
    <row r="33" hidden="1"/>
  </sheetData>
  <sheetProtection algorithmName="SHA-512" hashValue="St8gp+8L4fQ4WfxRajDlO5UKHToVlbYbxmLdqz/WGwHDi3ynG9uze+3Vmwbve2rSxFjg1S/422jGoH724vgnUQ==" saltValue="pDUJOd67lB3K8Gq6Fdp54A==" spinCount="100000" sheet="1" objects="1" scenarios="1" selectLockedCells="1"/>
  <mergeCells count="6">
    <mergeCell ref="A21:B21"/>
    <mergeCell ref="A1:B1"/>
    <mergeCell ref="M1:O1"/>
    <mergeCell ref="M4:O4"/>
    <mergeCell ref="M7:O7"/>
    <mergeCell ref="M16:O16"/>
  </mergeCells>
  <phoneticPr fontId="21" type="noConversion"/>
  <conditionalFormatting sqref="B4">
    <cfRule type="expression" dxfId="92" priority="5">
      <formula>AND(B6&gt;1,B4&gt;1)</formula>
    </cfRule>
  </conditionalFormatting>
  <conditionalFormatting sqref="B5">
    <cfRule type="expression" dxfId="91" priority="3">
      <formula>AND(B5&gt;1,B7&gt;1)</formula>
    </cfRule>
  </conditionalFormatting>
  <conditionalFormatting sqref="B6">
    <cfRule type="expression" dxfId="90" priority="4">
      <formula>AND(B6&gt;1,B4&gt;1)</formula>
    </cfRule>
  </conditionalFormatting>
  <conditionalFormatting sqref="B7">
    <cfRule type="expression" dxfId="89" priority="2">
      <formula>AND(B5&gt;1,B7&gt;1)</formula>
    </cfRule>
  </conditionalFormatting>
  <dataValidations count="10">
    <dataValidation type="list" allowBlank="1" showInputMessage="1" showErrorMessage="1" sqref="B12" xr:uid="{00000000-0002-0000-1E00-000000000000}">
      <formula1>"Rolling,GlobalReset"</formula1>
    </dataValidation>
    <dataValidation type="list" allowBlank="1" showInputMessage="1" showErrorMessage="1" errorTitle="Input parameter error" error="input 8 or 10" sqref="B10" xr:uid="{00000000-0002-0000-1E00-000001000000}">
      <formula1>"8,10"</formula1>
    </dataValidation>
    <dataValidation type="custom" allowBlank="1" showInputMessage="1" showErrorMessage="1" errorTitle="Input parameter error" error="Input parameter error，please input parameter according to message_x000a_" sqref="B2" xr:uid="{00000000-0002-0000-1E00-000002000000}">
      <formula1>AND(MOD(B2,8)=0,B2&gt;=16,B2&lt;=3088/(B4*B6))</formula1>
    </dataValidation>
    <dataValidation type="custom" allowBlank="1" showInputMessage="1" showErrorMessage="1" errorTitle="Input parameter error" error="Input parameter error，please input parameter according to message" sqref="B3" xr:uid="{00000000-0002-0000-1E00-000003000000}">
      <formula1>AND(MOD(B3,2)=0,B3&gt;=2,B3&lt;=2064/(B5*B7))</formula1>
    </dataValidation>
    <dataValidation type="whole" allowBlank="1" showInputMessage="1" showErrorMessage="1" errorTitle="Input parameter error" error="Input range is 8-1000000_x000a_when shuttermode is Rolling;_x000a_Input range is15-200000 when shuttermode is GlobalReset" sqref="B8" xr:uid="{00000000-0002-0000-1E00-000004000000}">
      <formula1>R2</formula1>
      <formula2>R3</formula2>
    </dataValidation>
    <dataValidation type="custom" allowBlank="1" showInputMessage="1" showErrorMessage="1" errorTitle="Input parameter error" error="Input renge from 0.1 to 10000,step 0.1" sqref="B15" xr:uid="{00000000-0002-0000-1E00-000005000000}">
      <formula1>AND(MOD(10*B15,1)=0,B15&gt;=0.1,B15&lt;=10000)</formula1>
    </dataValidation>
    <dataValidation type="whole" allowBlank="1" showInputMessage="1" showErrorMessage="1" errorTitle="Input parameter error" error="Input range is 0-5000" sqref="B9" xr:uid="{00000000-0002-0000-1E00-000006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1" xr:uid="{00000000-0002-0000-1E00-000007000000}">
      <formula1>OR(AND(B10=8,B11&gt;=35000000,B11&lt;=400000000,MOD(B11,1000000)=0),AND(B10=10,B11&gt;=70000000,B11&lt;=400000000,MOD(B11,1000000)=0))</formula1>
    </dataValidation>
    <dataValidation type="list" allowBlank="1" showInputMessage="1" showErrorMessage="1" errorTitle="参数输入错误" error="Input range is 1,2,4" sqref="B4:B7" xr:uid="{00000000-0002-0000-1E00-000008000000}">
      <formula1>"1,2,4"</formula1>
    </dataValidation>
    <dataValidation type="list" allowBlank="1" showInputMessage="1" showErrorMessage="1" errorTitle="Input parameter error" error="Input off or on" sqref="B13:B14" xr:uid="{00000000-0002-0000-1E00-000009000000}">
      <formula1>"on,off"</formula1>
    </dataValidation>
  </dataValidations>
  <pageMargins left="0.7" right="0.7" top="0.75" bottom="0.75" header="0.3" footer="0.3"/>
  <pageSetup paperSize="9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27"/>
  <sheetViews>
    <sheetView workbookViewId="0">
      <selection activeCell="C22" sqref="C22"/>
    </sheetView>
  </sheetViews>
  <sheetFormatPr defaultColWidth="8.85546875" defaultRowHeight="15"/>
  <cols>
    <col min="1" max="1" width="40.5703125" style="2" customWidth="1"/>
    <col min="2" max="2" width="15.42578125" style="2" customWidth="1"/>
    <col min="3" max="5" width="8.85546875" style="2"/>
    <col min="6" max="6" width="8.85546875" style="2" customWidth="1"/>
    <col min="7" max="7" width="21.42578125" style="2" hidden="1" customWidth="1"/>
    <col min="8" max="8" width="23.42578125" style="2" hidden="1" customWidth="1"/>
    <col min="9" max="9" width="8.85546875" style="2" hidden="1" customWidth="1"/>
    <col min="10" max="10" width="15.140625" style="2" customWidth="1"/>
    <col min="11" max="16384" width="8.85546875" style="2"/>
  </cols>
  <sheetData>
    <row r="1" spans="1:9">
      <c r="A1" s="153" t="s">
        <v>165</v>
      </c>
      <c r="B1" s="154"/>
      <c r="G1" s="161" t="s">
        <v>263</v>
      </c>
      <c r="H1" s="162"/>
      <c r="I1" s="163"/>
    </row>
    <row r="2" spans="1:9">
      <c r="A2" s="96" t="s">
        <v>264</v>
      </c>
      <c r="B2" s="4">
        <v>3840</v>
      </c>
      <c r="G2" s="97" t="s">
        <v>166</v>
      </c>
      <c r="H2" s="97">
        <v>3840</v>
      </c>
      <c r="I2" s="97"/>
    </row>
    <row r="3" spans="1:9">
      <c r="A3" s="96" t="s">
        <v>265</v>
      </c>
      <c r="B3" s="4">
        <v>2160</v>
      </c>
      <c r="G3" s="97" t="s">
        <v>167</v>
      </c>
      <c r="H3" s="97">
        <f>B3</f>
        <v>2160</v>
      </c>
      <c r="I3" s="97"/>
    </row>
    <row r="4" spans="1:9">
      <c r="A4" s="3" t="s">
        <v>168</v>
      </c>
      <c r="B4" s="7">
        <v>40000</v>
      </c>
      <c r="G4" s="161" t="s">
        <v>266</v>
      </c>
      <c r="H4" s="162"/>
      <c r="I4" s="163"/>
    </row>
    <row r="5" spans="1:9">
      <c r="A5" s="3" t="s">
        <v>169</v>
      </c>
      <c r="B5" s="7">
        <v>8</v>
      </c>
      <c r="G5" s="97" t="s">
        <v>166</v>
      </c>
      <c r="H5" s="97">
        <v>3840</v>
      </c>
      <c r="I5" s="97"/>
    </row>
    <row r="6" spans="1:9">
      <c r="A6" s="3" t="s">
        <v>170</v>
      </c>
      <c r="B6" s="7">
        <v>200000000</v>
      </c>
      <c r="G6" s="97" t="s">
        <v>167</v>
      </c>
      <c r="H6" s="97">
        <f>IF(H3&gt;=372,H3,372)</f>
        <v>2160</v>
      </c>
      <c r="I6" s="97"/>
    </row>
    <row r="7" spans="1:9" hidden="1">
      <c r="A7" s="3"/>
      <c r="B7" s="7"/>
      <c r="G7" s="161"/>
      <c r="H7" s="162"/>
      <c r="I7" s="163"/>
    </row>
    <row r="8" spans="1:9">
      <c r="A8" s="3" t="s">
        <v>267</v>
      </c>
      <c r="B8" s="7" t="s">
        <v>177</v>
      </c>
      <c r="G8" s="97" t="s">
        <v>268</v>
      </c>
      <c r="H8" s="97">
        <f>IF(B5=8,1,2)*ROUNDUP(768*(10^6/37500),0)</f>
        <v>20480</v>
      </c>
      <c r="I8" s="97" t="s">
        <v>269</v>
      </c>
    </row>
    <row r="9" spans="1:9">
      <c r="A9" s="3" t="s">
        <v>176</v>
      </c>
      <c r="B9" s="7" t="s">
        <v>177</v>
      </c>
      <c r="G9" s="97" t="s">
        <v>270</v>
      </c>
      <c r="H9" s="97">
        <v>0</v>
      </c>
      <c r="I9" s="97" t="s">
        <v>271</v>
      </c>
    </row>
    <row r="10" spans="1:9">
      <c r="A10" s="3" t="s">
        <v>178</v>
      </c>
      <c r="B10" s="7">
        <v>22.1</v>
      </c>
      <c r="G10" s="97" t="s">
        <v>272</v>
      </c>
      <c r="H10" s="97">
        <v>32</v>
      </c>
      <c r="I10" s="97" t="s">
        <v>268</v>
      </c>
    </row>
    <row r="11" spans="1:9" hidden="1">
      <c r="A11" s="6" t="s">
        <v>172</v>
      </c>
      <c r="B11" s="95" t="str">
        <f>IF((B5&lt;=8),"1","2")</f>
        <v>1</v>
      </c>
      <c r="G11" s="97" t="s">
        <v>273</v>
      </c>
      <c r="H11" s="97">
        <v>10</v>
      </c>
      <c r="I11" s="97" t="s">
        <v>268</v>
      </c>
    </row>
    <row r="12" spans="1:9" hidden="1">
      <c r="A12" s="6" t="s">
        <v>173</v>
      </c>
      <c r="B12" s="95">
        <f>H15</f>
        <v>8294484</v>
      </c>
      <c r="G12" s="97" t="s">
        <v>274</v>
      </c>
      <c r="H12" s="97">
        <v>32</v>
      </c>
      <c r="I12" s="97" t="s">
        <v>268</v>
      </c>
    </row>
    <row r="13" spans="1:9" hidden="1">
      <c r="A13" s="6" t="s">
        <v>174</v>
      </c>
      <c r="B13" s="95">
        <f>H8</f>
        <v>20480</v>
      </c>
      <c r="G13" s="97" t="s">
        <v>275</v>
      </c>
      <c r="H13" s="97">
        <v>48</v>
      </c>
      <c r="I13" s="97" t="s">
        <v>268</v>
      </c>
    </row>
    <row r="14" spans="1:9" hidden="1">
      <c r="A14" s="6" t="s">
        <v>175</v>
      </c>
      <c r="B14" s="95">
        <f>B15</f>
        <v>45219840</v>
      </c>
      <c r="G14" s="97" t="s">
        <v>276</v>
      </c>
      <c r="H14" s="97">
        <v>6</v>
      </c>
      <c r="I14" s="97" t="s">
        <v>268</v>
      </c>
    </row>
    <row r="15" spans="1:9" hidden="1">
      <c r="A15" s="6" t="s">
        <v>179</v>
      </c>
      <c r="B15" s="95">
        <f>H22</f>
        <v>45219840</v>
      </c>
      <c r="G15" s="97" t="s">
        <v>277</v>
      </c>
      <c r="H15" s="97">
        <f>IF(B5=8,1,2)*B2*B3+84</f>
        <v>8294484</v>
      </c>
      <c r="I15" s="97" t="s">
        <v>278</v>
      </c>
    </row>
    <row r="16" spans="1:9">
      <c r="A16" s="155" t="s">
        <v>180</v>
      </c>
      <c r="B16" s="156"/>
      <c r="G16" s="161"/>
      <c r="H16" s="162"/>
      <c r="I16" s="163"/>
    </row>
    <row r="17" spans="1:9" ht="22.5">
      <c r="A17" s="11" t="s">
        <v>181</v>
      </c>
      <c r="B17" s="12">
        <f>1000000000/B15</f>
        <v>22.114187047101449</v>
      </c>
      <c r="G17" s="97" t="s">
        <v>279</v>
      </c>
      <c r="H17" s="97">
        <f>H10+MAX(H6+H13-H10,2+H11+ROUNDUP(1000*H9/H8,0))</f>
        <v>2208</v>
      </c>
      <c r="I17" s="97" t="s">
        <v>268</v>
      </c>
    </row>
    <row r="18" spans="1:9">
      <c r="G18" s="97" t="s">
        <v>280</v>
      </c>
      <c r="H18" s="97">
        <f>ROUNDUP(1000*B4/H8,0)+H14</f>
        <v>1960</v>
      </c>
      <c r="I18" s="97" t="s">
        <v>268</v>
      </c>
    </row>
    <row r="19" spans="1:9">
      <c r="G19" s="97" t="s">
        <v>281</v>
      </c>
      <c r="H19" s="97">
        <f>IF(B9="ON",IF(B8="ON",ROUNDUP(((10^9/B10)-((H10+H14+H26)*H25))/H8+(H10+H14+H26),0),ROUNDUP(10^9/(B10*H8),0)),0)</f>
        <v>0</v>
      </c>
      <c r="I19" s="97" t="s">
        <v>268</v>
      </c>
    </row>
    <row r="20" spans="1:9">
      <c r="G20" s="97" t="s">
        <v>282</v>
      </c>
      <c r="H20" s="97">
        <f>IF((B8="on"),ROUNDUP(((H15/MIN(200000000,B6))*10^9-((H10+H14+H26)*H25))/H8+(H10+H14+H26),0),ROUNDUP(H15/MIN(200000000,B6)*10^9/H8,0))</f>
        <v>2026</v>
      </c>
      <c r="I20" s="97" t="s">
        <v>268</v>
      </c>
    </row>
    <row r="21" spans="1:9">
      <c r="G21" s="97" t="s">
        <v>283</v>
      </c>
      <c r="H21" s="97">
        <f>IF(B8="OFF",(H17+H18+2*H12),(H17+H18+H26+(2*H12)))</f>
        <v>4232</v>
      </c>
      <c r="I21" s="97" t="s">
        <v>268</v>
      </c>
    </row>
    <row r="22" spans="1:9">
      <c r="G22" s="97" t="s">
        <v>284</v>
      </c>
      <c r="H22" s="97">
        <f>IF(B8="off",(ROUNDUP(MAX(H17,H18,H19,H20)*H8,0)),(ROUNDUP(MAX(H23,((H19-H10-H14-H26)*H8+(H10+H14+H26)*H25),(H20-H10-H14-H26)*H8+(H10+H14+H26)*H25),0)))</f>
        <v>45219840</v>
      </c>
      <c r="I22" s="97" t="s">
        <v>269</v>
      </c>
    </row>
    <row r="23" spans="1:9">
      <c r="G23" s="97" t="s">
        <v>322</v>
      </c>
      <c r="H23" s="97" t="str">
        <f>IF(B8="OFF","-",IF(H27=0,ROUNDUP(((H17-H10+H18-H14)*H8+((2*H12)+H10+H14+H26)*H25),0),ROUNDUP((((2*H12)+H17-H10+H18-H14)*H8+(H10+H14+H26)*H25),0)))</f>
        <v>-</v>
      </c>
      <c r="I23" s="97" t="s">
        <v>269</v>
      </c>
    </row>
    <row r="24" spans="1:9">
      <c r="G24" s="161"/>
      <c r="H24" s="162"/>
      <c r="I24" s="163"/>
    </row>
    <row r="25" spans="1:9">
      <c r="G25" s="97" t="s">
        <v>323</v>
      </c>
      <c r="H25" s="97">
        <f>ROUNDUP(550*(10^6/37500),0)</f>
        <v>14667</v>
      </c>
      <c r="I25" s="97" t="s">
        <v>269</v>
      </c>
    </row>
    <row r="26" spans="1:9">
      <c r="G26" s="97" t="s">
        <v>324</v>
      </c>
      <c r="H26" s="97">
        <v>2160</v>
      </c>
      <c r="I26" s="97" t="s">
        <v>268</v>
      </c>
    </row>
    <row r="27" spans="1:9">
      <c r="G27" s="97" t="s">
        <v>325</v>
      </c>
      <c r="H27" s="97">
        <f>IF(AND(H3+H10+H12-(H18+H26)&gt;=0,H3+H10+H12-(H18+H26)&lt;=2*H12),0,1)</f>
        <v>1</v>
      </c>
      <c r="I27" s="97" t="s">
        <v>326</v>
      </c>
    </row>
  </sheetData>
  <sheetProtection algorithmName="SHA-512" hashValue="P9inlWg7fecrrwkWKd5y702dKEAyZJ12Qz2TB7trR4n4zqGub/sR31ZhUjix557ZD3QenUzlUTMnUgP3CkWzGw==" saltValue="zGZ0EyqlI7UpcmAFzS+VlA==" spinCount="100000" sheet="1" objects="1" scenarios="1"/>
  <mergeCells count="7">
    <mergeCell ref="G24:I24"/>
    <mergeCell ref="A1:B1"/>
    <mergeCell ref="G1:I1"/>
    <mergeCell ref="G4:I4"/>
    <mergeCell ref="G7:I7"/>
    <mergeCell ref="A16:B16"/>
    <mergeCell ref="G16:I16"/>
  </mergeCells>
  <phoneticPr fontId="21" type="noConversion"/>
  <dataValidations count="7">
    <dataValidation type="custom" allowBlank="1" showInputMessage="1" showErrorMessage="1" errorTitle="Input parameter error" error="Input parameter error,Input range from 64 to 3840,and is an integer multiple of 4_x000a_" sqref="B2" xr:uid="{00000000-0002-0000-1F00-000000000000}">
      <formula1>AND(MOD(B2,4)=0,B2&gt;=64,B2&lt;=3840)</formula1>
    </dataValidation>
    <dataValidation type="custom" allowBlank="1" showInputMessage="1" showErrorMessage="1" errorTitle="Input parameter error" error="Input parameter error,Input range from 64 to 2160,and is an integer multiple of 4" sqref="B3" xr:uid="{00000000-0002-0000-1F00-000001000000}">
      <formula1>AND(MOD(B3,4)=0,B3&gt;=64,B3&lt;=2160)</formula1>
    </dataValidation>
    <dataValidation type="list" allowBlank="1" showInputMessage="1" showErrorMessage="1" errorTitle="Input parameter error" error="Input 8 or 10" sqref="B5" xr:uid="{00000000-0002-0000-1F00-000002000000}">
      <formula1>"8,10"</formula1>
    </dataValidation>
    <dataValidation type="whole" allowBlank="1" showInputMessage="1" showErrorMessage="1" errorTitle="Input parameter error" error="Input range is 20-1000000" sqref="B4" xr:uid="{00000000-0002-0000-1F00-000003000000}">
      <formula1>20</formula1>
      <formula2>1000000</formula2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1F00-000004000000}">
      <formula1>OR(AND(B5=8,B6&gt;=35000000,B6&lt;=200000000,MOD(B6,1000000)=0),AND(B5=10,B6&gt;=70000000,B6&lt;=200000000,MOD(B6,1000000)=0))</formula1>
    </dataValidation>
    <dataValidation type="custom" allowBlank="1" showInputMessage="1" showErrorMessage="1" errorTitle="Input parameter error" error="Input range from 0.1 to 10000,step 0.1" sqref="B10" xr:uid="{00000000-0002-0000-1F00-000005000000}">
      <formula1>AND(MOD(10*B10,1)=0,B10&gt;=0.1,B10&lt;=10000)</formula1>
    </dataValidation>
    <dataValidation type="list" allowBlank="1" showInputMessage="1" showErrorMessage="1" errorTitle="Input parameter error" error="Input on or off" sqref="B8:B9" xr:uid="{00000000-0002-0000-1F00-000006000000}">
      <formula1>"on,off"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J44"/>
  <sheetViews>
    <sheetView workbookViewId="0">
      <selection activeCell="L34" sqref="L34"/>
    </sheetView>
  </sheetViews>
  <sheetFormatPr defaultColWidth="9" defaultRowHeight="15"/>
  <cols>
    <col min="1" max="1" width="36.85546875" customWidth="1"/>
    <col min="2" max="2" width="42.5703125" customWidth="1"/>
    <col min="3" max="3" width="31.42578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4200</v>
      </c>
      <c r="C2" s="5" t="str">
        <f>IF(OR(B2&gt;4200/B4,B2&lt;16),LOOKUP(B4,F3:F5,I3:I5),IF(OR(B2&gt;4200/B6,B2&lt;16),LOOKUP(B6,F12:F14,I12:I14),""))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2160</v>
      </c>
      <c r="C3" s="5" t="str">
        <f>IF(OR(B3&gt;2160/B5,B3&lt;2),LOOKUP(B5,F3:F5,J3:J5),IF(OR(B3&gt;2160/B7,B3&lt;2),LOOKUP(B7,F12:F14,J11:J13),""))</f>
        <v/>
      </c>
      <c r="D3" s="2"/>
      <c r="E3" s="2"/>
      <c r="F3" s="2">
        <v>1</v>
      </c>
      <c r="G3" s="2">
        <f>8*INT(4200/(8*F3))</f>
        <v>4200</v>
      </c>
      <c r="H3" s="2">
        <f>2*INT(2160/(2*F3))</f>
        <v>2160</v>
      </c>
      <c r="I3" s="2" t="str">
        <f>"Input range from 16 to "&amp;G3&amp;",and is an integer multiple of 8"</f>
        <v>Input range from 16 to 4200,and is an integer multiple of 8</v>
      </c>
      <c r="J3" s="2" t="str">
        <f>"Input range from 2 to "&amp;H3&amp;",and is an integer multiple of 2"</f>
        <v>Input range from 2 to 2160,and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8*INT(4200/(8*F4))</f>
        <v>2096</v>
      </c>
      <c r="H4" s="2">
        <f>2*INT(2160/(2*F4))</f>
        <v>1080</v>
      </c>
      <c r="I4" s="2" t="str">
        <f>"Input range from 16 to "&amp;G4&amp;",and is an integer multiple of 8"</f>
        <v>Input range from 16 to 2096,and is an integer multiple of 8</v>
      </c>
      <c r="J4" s="2" t="str">
        <f>"Input range from 2 to "&amp;H4&amp;",and is an integer multiple of 2"</f>
        <v>Input range from 2 to 1080,and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8*INT(4200/(8*F5))</f>
        <v>1048</v>
      </c>
      <c r="H5" s="2">
        <f>2*INT(2160/(2*F5))</f>
        <v>540</v>
      </c>
      <c r="I5" s="2" t="str">
        <f>"Input range from 16 to "&amp;G5&amp;",and is an integer multiple of 8"</f>
        <v>Input range from 16 to 1048,and is an integer multiple of 8</v>
      </c>
      <c r="J5" s="2" t="str">
        <f>"Input range from 2 to "&amp;H5&amp;",and is an integer multiple of 2"</f>
        <v>Input range from 2 to 540,and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4200/B4</f>
        <v>4200</v>
      </c>
      <c r="H7" s="2">
        <f>2160/B5</f>
        <v>2160</v>
      </c>
      <c r="I7" s="2"/>
      <c r="J7" s="2"/>
    </row>
    <row r="8" spans="1:10">
      <c r="A8" s="3" t="s">
        <v>168</v>
      </c>
      <c r="B8" s="7">
        <v>20000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315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2160,and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8*INT(4200/(8*F11))</f>
        <v>4200</v>
      </c>
      <c r="H11" s="2">
        <f>2*INT(2160/(2*F11))</f>
        <v>2160</v>
      </c>
      <c r="I11" s="2" t="str">
        <f>"Input range from 16 to "&amp;G11&amp;",and is an integer multiple of 8"</f>
        <v>Input range from 16 to 4200,and is an integer multiple of 8</v>
      </c>
      <c r="J11" s="2" t="str">
        <f>"Input range from 2 to "&amp;H12&amp;",and is an integer multiple of 2"</f>
        <v>Input range from 2 to 1080,and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8*INT(4200/(8*F12))</f>
        <v>2096</v>
      </c>
      <c r="H12" s="2">
        <f>2*INT(2160/(2*F12))</f>
        <v>1080</v>
      </c>
      <c r="I12" s="2" t="str">
        <f>"Input range from 16 to "&amp;G12&amp;",and is an integer multiple of 8"</f>
        <v>Input range from 16 to 2096,and is an integer multiple of 8</v>
      </c>
      <c r="J12" s="2" t="str">
        <f>"Input range from 2 to "&amp;H13&amp;",and is an integer multiple of 2"</f>
        <v>Input range from 2 to 540,and is an integer multiple of 2</v>
      </c>
    </row>
    <row r="13" spans="1:10" ht="14.25" customHeight="1">
      <c r="A13" s="3" t="s">
        <v>178</v>
      </c>
      <c r="B13" s="7">
        <v>43</v>
      </c>
      <c r="C13" s="2"/>
      <c r="D13" s="2"/>
      <c r="E13" s="2"/>
      <c r="F13" s="2">
        <v>4</v>
      </c>
      <c r="G13" s="2">
        <f>8*INT(4200/(8*F13))</f>
        <v>1048</v>
      </c>
      <c r="H13" s="2">
        <f>2*INT(2160/(2*F13))</f>
        <v>540</v>
      </c>
      <c r="I13" s="2" t="str">
        <f>"Input range from 16 to "&amp;G13&amp;",and is an integer multiple of 8"</f>
        <v>Input range from 16 to 1048,and is an integer multiple of 8</v>
      </c>
      <c r="J13" s="2"/>
    </row>
    <row r="14" spans="1:10" ht="18" hidden="1" customHeight="1">
      <c r="A14" s="6" t="s">
        <v>285</v>
      </c>
      <c r="B14" s="7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275</v>
      </c>
      <c r="B15" s="7">
        <v>14</v>
      </c>
      <c r="C15" s="2"/>
      <c r="D15" s="2"/>
      <c r="E15" s="2"/>
      <c r="F15" s="2"/>
      <c r="G15" s="2">
        <f>4200/B6</f>
        <v>4200</v>
      </c>
      <c r="H15" s="2">
        <f>2160/B7</f>
        <v>2160</v>
      </c>
      <c r="I15" s="2"/>
      <c r="J15" s="2"/>
    </row>
    <row r="16" spans="1:10" ht="18" hidden="1" customHeight="1">
      <c r="A16" s="6" t="s">
        <v>286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287</v>
      </c>
      <c r="B17" s="7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288</v>
      </c>
      <c r="B18" s="7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289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290</v>
      </c>
      <c r="B20" s="7">
        <f>ROUNDUP(1000*B14/60,0)+8*ROUNDUP(1000*B14*4/60,0)</f>
        <v>83606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291</v>
      </c>
      <c r="B21" s="7">
        <f>ROUNDUP(4*B14/60*1000,0)</f>
        <v>10134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292</v>
      </c>
      <c r="B22" s="7">
        <f>ROUNDUP((1000*B8-1000*B17/60)/1000,0)</f>
        <v>19999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293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294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295</v>
      </c>
      <c r="B25" s="9">
        <f>ROUNDUP(((B3*B5+B15+B19)*B21+B20)/1000,0)</f>
        <v>22126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296</v>
      </c>
      <c r="B26" s="10">
        <f>ROUNDUP(B8+B9-B17/60+2*B21/1000+B20/1000,0)</f>
        <v>20102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297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298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299</v>
      </c>
      <c r="B29" s="7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300</v>
      </c>
      <c r="B30" s="7">
        <f>B2*B3*IF(B10=8,1,2)</f>
        <v>9072000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301</v>
      </c>
      <c r="B31" s="7">
        <f>52+32+B30</f>
        <v>9072084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302</v>
      </c>
      <c r="B32" s="10">
        <f>ROUNDUP(MAX((B31*1000000/B11),B31*10/B29),0)</f>
        <v>30241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30241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4" t="s">
        <v>180</v>
      </c>
      <c r="B34" s="164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33.067689560530404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/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QAuDpvyzNfverC6b68DuMkmrdppcD9WUt0CqOsRIzWFnxnv1fIRj27qMIlQHFVSYnTwd7SmSfgiP/Q4DoRfEaQ==" saltValue="EiN05t6qSaMIMefynx/S7g==" spinCount="100000" sheet="1" objects="1" scenarios="1"/>
  <mergeCells count="1">
    <mergeCell ref="A34:B34"/>
  </mergeCells>
  <phoneticPr fontId="21" type="noConversion"/>
  <conditionalFormatting sqref="B2">
    <cfRule type="cellIs" dxfId="88" priority="5" operator="notBetween">
      <formula>16</formula>
      <formula>$G$7</formula>
    </cfRule>
    <cfRule type="cellIs" dxfId="87" priority="6" operator="notBetween">
      <formula>16</formula>
      <formula>$G$15</formula>
    </cfRule>
  </conditionalFormatting>
  <conditionalFormatting sqref="B3">
    <cfRule type="cellIs" dxfId="86" priority="7" operator="notBetween">
      <formula>2</formula>
      <formula>$H$7</formula>
    </cfRule>
    <cfRule type="cellIs" dxfId="85" priority="8" operator="notBetween">
      <formula>2</formula>
      <formula>$H$15</formula>
    </cfRule>
  </conditionalFormatting>
  <conditionalFormatting sqref="B4">
    <cfRule type="expression" dxfId="84" priority="4">
      <formula>AND(B6&gt;1,B4&gt;1)</formula>
    </cfRule>
  </conditionalFormatting>
  <conditionalFormatting sqref="B5">
    <cfRule type="expression" dxfId="83" priority="2">
      <formula>AND(B5&gt;1,B7&gt;1)</formula>
    </cfRule>
  </conditionalFormatting>
  <conditionalFormatting sqref="B6">
    <cfRule type="expression" dxfId="82" priority="3">
      <formula>AND(B6&gt;1,B4&gt;1)</formula>
    </cfRule>
  </conditionalFormatting>
  <conditionalFormatting sqref="B7">
    <cfRule type="expression" dxfId="81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8" sqref="B2" xr:uid="{00000000-0002-0000-2000-000000000000}">
      <formula1>AND(MOD(B2,8)=0,B2&gt;=16,B2&lt;=4200/B4,B2&lt;=4200/B6)</formula1>
    </dataValidation>
    <dataValidation type="custom" allowBlank="1" showInputMessage="1" showErrorMessage="1" errorTitle="Input parameter error" error="Input parameter is out of range or cannot be divided by 2" sqref="B3" xr:uid="{00000000-0002-0000-2000-000001000000}">
      <formula1>AND(MOD(B3,2)=0,B3&gt;=2,B3&lt;=2160/B5,B3&lt;=2160/B7)</formula1>
    </dataValidation>
    <dataValidation type="custom" allowBlank="1" showInputMessage="1" showErrorMessage="1" errorTitle="参数输入错误" error="输入范围为0.1-10000，步进值为0.1" sqref="B13" xr:uid="{00000000-0002-0000-2000-000002000000}">
      <formula1>AND(MOD(10*B13,1)=0,B13&gt;=0.1,B13&lt;=10000)</formula1>
    </dataValidation>
    <dataValidation type="whole" allowBlank="1" showInputMessage="1" showErrorMessage="1" errorTitle="Input parameter error" error="Input range from 11 to 1000000" sqref="B8" xr:uid="{00000000-0002-0000-2000-000003000000}">
      <formula1>11</formula1>
      <formula2>1000000</formula2>
    </dataValidation>
    <dataValidation type="whole" allowBlank="1" showInputMessage="1" showErrorMessage="1" errorTitle="Input parameter error" error="Input range from 0 to 5000" sqref="B9" xr:uid="{00000000-0002-0000-2000-000004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000-000005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2000-000006000000}">
      <formula1>"on,off"</formula1>
    </dataValidation>
    <dataValidation type="list" allowBlank="1" showInputMessage="1" showErrorMessage="1" errorTitle="Input parameter error" error="Input 8 or 12" sqref="B10" xr:uid="{00000000-0002-0000-2000-000007000000}">
      <formula1>"8,12"</formula1>
    </dataValidation>
    <dataValidation type="list" allowBlank="1" showInputMessage="1" showErrorMessage="1" errorTitle="Input parameter error" error="Input range is 1,2,4" sqref="B4:B7" xr:uid="{00000000-0002-0000-2000-000008000000}">
      <formula1>"1,2,4"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R33"/>
  <sheetViews>
    <sheetView workbookViewId="0">
      <selection activeCell="B2" sqref="B2"/>
    </sheetView>
  </sheetViews>
  <sheetFormatPr defaultColWidth="8.85546875" defaultRowHeight="15"/>
  <cols>
    <col min="1" max="1" width="36.85546875" style="22" customWidth="1"/>
    <col min="2" max="2" width="45.140625" style="22" customWidth="1"/>
    <col min="3" max="3" width="101.85546875" style="22" customWidth="1"/>
    <col min="4" max="5" width="8.85546875" style="22" customWidth="1"/>
    <col min="6" max="6" width="13.5703125" style="22" hidden="1" customWidth="1"/>
    <col min="7" max="8" width="9" style="22" hidden="1" customWidth="1"/>
    <col min="9" max="9" width="73.5703125" style="22" hidden="1" customWidth="1"/>
    <col min="10" max="10" width="64.85546875" style="22" hidden="1" customWidth="1"/>
    <col min="11" max="12" width="8.85546875" style="22" hidden="1" customWidth="1"/>
    <col min="13" max="13" width="21.42578125" style="22" hidden="1" customWidth="1"/>
    <col min="14" max="14" width="23.42578125" style="22" hidden="1" customWidth="1"/>
    <col min="15" max="16" width="8.85546875" style="22" hidden="1" customWidth="1"/>
    <col min="17" max="17" width="19.28515625" style="22" hidden="1" customWidth="1"/>
    <col min="18" max="18" width="8.85546875" style="22" hidden="1" customWidth="1"/>
    <col min="19" max="16384" width="8.85546875" style="22"/>
  </cols>
  <sheetData>
    <row r="1" spans="1:18">
      <c r="A1" s="153" t="s">
        <v>165</v>
      </c>
      <c r="B1" s="154"/>
      <c r="C1" s="23"/>
      <c r="M1" s="171" t="s">
        <v>263</v>
      </c>
      <c r="N1" s="172"/>
      <c r="O1" s="173"/>
    </row>
    <row r="2" spans="1:18">
      <c r="A2" s="24" t="s">
        <v>264</v>
      </c>
      <c r="B2" s="25">
        <v>4024</v>
      </c>
      <c r="C2" s="26" t="str">
        <f>IF(OR(B2&gt;G7/B4,B2&lt;16,MOD(B2,8)&lt;&gt;0),LOOKUP(B4,F3:F5,I3:I5),IF(OR(B2&gt;G7/B6,B2&lt;16,MOD(B2,8)&lt;&gt;0),LOOKUP(B6,F10:F12,I10:I12),""))</f>
        <v/>
      </c>
      <c r="F2" s="2" t="s">
        <v>182</v>
      </c>
      <c r="G2" s="2" t="s">
        <v>183</v>
      </c>
      <c r="H2" s="2" t="s">
        <v>184</v>
      </c>
      <c r="I2" s="2"/>
      <c r="J2" s="2"/>
      <c r="K2"/>
      <c r="M2" s="37" t="s">
        <v>166</v>
      </c>
      <c r="N2" s="37">
        <v>5496</v>
      </c>
      <c r="O2" s="37"/>
      <c r="Q2" s="46" t="s">
        <v>355</v>
      </c>
      <c r="R2" s="47">
        <v>10</v>
      </c>
    </row>
    <row r="3" spans="1:18">
      <c r="A3" s="24" t="s">
        <v>265</v>
      </c>
      <c r="B3" s="25">
        <v>3036</v>
      </c>
      <c r="C3" s="26" t="str">
        <f>IF(OR(B3&gt;H7/B5,B3&lt;2,MOD(B3,2)&lt;&gt;0),LOOKUP(B5,F3:F5,J3:J5),IF(OR(B3&gt;H7/B7,B3&lt;2,MOD(B3,2)&lt;&gt;0),LOOKUP(B7,F10:F12,J10:J12),""))</f>
        <v/>
      </c>
      <c r="F3" s="2">
        <v>1</v>
      </c>
      <c r="G3" s="2">
        <f>8*INT($G$7/(F3*8))</f>
        <v>4024</v>
      </c>
      <c r="H3" s="2">
        <f>2*INT($H$7/(F3*2))</f>
        <v>3036</v>
      </c>
      <c r="I3" s="2" t="s">
        <v>370</v>
      </c>
      <c r="J3" s="2" t="s">
        <v>371</v>
      </c>
      <c r="K3"/>
      <c r="M3" s="37" t="s">
        <v>167</v>
      </c>
      <c r="N3" s="37">
        <f>B3</f>
        <v>3036</v>
      </c>
      <c r="O3" s="37"/>
      <c r="Q3" s="46" t="s">
        <v>372</v>
      </c>
      <c r="R3" s="47">
        <v>1000000</v>
      </c>
    </row>
    <row r="4" spans="1:18">
      <c r="A4" s="6" t="s">
        <v>187</v>
      </c>
      <c r="B4" s="7">
        <v>1</v>
      </c>
      <c r="C4" s="26" t="str">
        <f>IF(AND(B4&gt;1,B6&gt;1),"The binning and skipping levels are not set to be greater than 2 at the same time","")</f>
        <v/>
      </c>
      <c r="F4" s="2">
        <v>2</v>
      </c>
      <c r="G4" s="2">
        <f t="shared" ref="G4:G5" si="0">8*INT($G$7/(F4*8))</f>
        <v>2008</v>
      </c>
      <c r="H4" s="2">
        <f t="shared" ref="H4:H5" si="1">2*INT($H$7/(F4*2))</f>
        <v>1518</v>
      </c>
      <c r="I4" s="2" t="s">
        <v>373</v>
      </c>
      <c r="J4" s="2" t="s">
        <v>374</v>
      </c>
      <c r="K4"/>
      <c r="M4" s="171" t="s">
        <v>266</v>
      </c>
      <c r="N4" s="172"/>
      <c r="O4" s="173"/>
    </row>
    <row r="5" spans="1:18">
      <c r="A5" s="6" t="s">
        <v>190</v>
      </c>
      <c r="B5" s="7">
        <v>1</v>
      </c>
      <c r="C5" s="26" t="str">
        <f>IF(AND(B5&gt;1,B7&gt;1),"The binning and skipping levels are not set to be greater than 2 at the same time","")</f>
        <v/>
      </c>
      <c r="F5" s="2">
        <v>4</v>
      </c>
      <c r="G5" s="2">
        <f t="shared" si="0"/>
        <v>1000</v>
      </c>
      <c r="H5" s="2">
        <f t="shared" si="1"/>
        <v>758</v>
      </c>
      <c r="I5" s="2" t="s">
        <v>375</v>
      </c>
      <c r="J5" s="2" t="s">
        <v>376</v>
      </c>
      <c r="K5"/>
      <c r="M5" s="37" t="s">
        <v>166</v>
      </c>
      <c r="N5" s="37">
        <v>5496</v>
      </c>
      <c r="O5" s="37"/>
    </row>
    <row r="6" spans="1:18">
      <c r="A6" s="6" t="s">
        <v>193</v>
      </c>
      <c r="B6" s="7">
        <v>1</v>
      </c>
      <c r="C6" s="27"/>
      <c r="F6" s="2"/>
      <c r="G6" s="2"/>
      <c r="H6" s="2"/>
      <c r="I6" s="2" t="s">
        <v>194</v>
      </c>
      <c r="J6" s="2"/>
      <c r="K6"/>
      <c r="M6" s="37" t="s">
        <v>167</v>
      </c>
      <c r="N6" s="37">
        <f>IF(B5*B7*N3&gt;=G8,B5*B7*N3,G8)</f>
        <v>3046</v>
      </c>
      <c r="O6" s="37"/>
    </row>
    <row r="7" spans="1:18">
      <c r="A7" s="6" t="s">
        <v>195</v>
      </c>
      <c r="B7" s="7">
        <v>1</v>
      </c>
      <c r="C7" s="27"/>
      <c r="F7" s="2" t="s">
        <v>377</v>
      </c>
      <c r="G7" s="2">
        <v>4024</v>
      </c>
      <c r="H7" s="2">
        <v>3036</v>
      </c>
      <c r="I7" s="2"/>
      <c r="J7" s="2"/>
      <c r="K7"/>
      <c r="M7" s="171"/>
      <c r="N7" s="172"/>
      <c r="O7" s="173"/>
    </row>
    <row r="8" spans="1:18">
      <c r="A8" s="28" t="s">
        <v>168</v>
      </c>
      <c r="B8" s="29">
        <v>30000</v>
      </c>
      <c r="C8" s="23"/>
      <c r="F8" s="2" t="s">
        <v>378</v>
      </c>
      <c r="G8" s="2">
        <v>3046</v>
      </c>
      <c r="H8" s="2"/>
      <c r="I8" s="2"/>
      <c r="J8" s="2"/>
      <c r="K8"/>
      <c r="M8" s="37" t="s">
        <v>268</v>
      </c>
      <c r="N8" s="37">
        <f>IF(B10=8,10000,2*10000)</f>
        <v>10000</v>
      </c>
      <c r="O8" s="37" t="s">
        <v>269</v>
      </c>
    </row>
    <row r="9" spans="1:18">
      <c r="A9" s="3" t="s">
        <v>362</v>
      </c>
      <c r="B9" s="30">
        <v>0</v>
      </c>
      <c r="C9" s="23"/>
      <c r="F9" s="2" t="s">
        <v>198</v>
      </c>
      <c r="G9" s="2" t="s">
        <v>183</v>
      </c>
      <c r="H9" s="2" t="s">
        <v>184</v>
      </c>
      <c r="I9" s="2"/>
      <c r="J9" s="2"/>
      <c r="K9"/>
      <c r="M9" s="37" t="s">
        <v>270</v>
      </c>
      <c r="N9" s="37">
        <v>50</v>
      </c>
      <c r="O9" s="37" t="s">
        <v>271</v>
      </c>
    </row>
    <row r="10" spans="1:18">
      <c r="A10" s="28" t="s">
        <v>169</v>
      </c>
      <c r="B10" s="29">
        <v>8</v>
      </c>
      <c r="C10" s="23"/>
      <c r="F10" s="2">
        <v>1</v>
      </c>
      <c r="G10" s="2">
        <f>8*INT($G$7/(F10*8))</f>
        <v>4024</v>
      </c>
      <c r="H10" s="2">
        <f>2*INT($H$7/(F10*2))</f>
        <v>3036</v>
      </c>
      <c r="I10" s="2" t="s">
        <v>370</v>
      </c>
      <c r="J10" s="2" t="s">
        <v>371</v>
      </c>
      <c r="K10"/>
      <c r="M10" s="37" t="s">
        <v>272</v>
      </c>
      <c r="N10" s="37">
        <v>33</v>
      </c>
      <c r="O10" s="37" t="s">
        <v>268</v>
      </c>
    </row>
    <row r="11" spans="1:18">
      <c r="A11" s="28" t="s">
        <v>170</v>
      </c>
      <c r="B11" s="29">
        <v>300000000</v>
      </c>
      <c r="C11" s="23"/>
      <c r="F11" s="2">
        <v>2</v>
      </c>
      <c r="G11" s="2">
        <f t="shared" ref="G11:G12" si="2">8*INT($G$7/(F11*8))</f>
        <v>2008</v>
      </c>
      <c r="H11" s="2">
        <f t="shared" ref="H11:H12" si="3">2*INT($H$7/(F11*2))</f>
        <v>1518</v>
      </c>
      <c r="I11" s="2" t="s">
        <v>373</v>
      </c>
      <c r="J11" s="2" t="s">
        <v>374</v>
      </c>
      <c r="K11"/>
      <c r="M11" s="37" t="s">
        <v>273</v>
      </c>
      <c r="N11" s="37">
        <v>17</v>
      </c>
      <c r="O11" s="37" t="s">
        <v>268</v>
      </c>
    </row>
    <row r="12" spans="1:18">
      <c r="A12" s="3" t="s">
        <v>363</v>
      </c>
      <c r="B12" s="31" t="s">
        <v>364</v>
      </c>
      <c r="C12" s="23"/>
      <c r="E12" s="32" t="s">
        <v>365</v>
      </c>
      <c r="F12" s="2">
        <v>4</v>
      </c>
      <c r="G12" s="2">
        <f t="shared" si="2"/>
        <v>1000</v>
      </c>
      <c r="H12" s="2">
        <f t="shared" si="3"/>
        <v>758</v>
      </c>
      <c r="I12" s="2" t="s">
        <v>375</v>
      </c>
      <c r="J12" s="2" t="s">
        <v>376</v>
      </c>
      <c r="K12"/>
      <c r="M12" s="38" t="s">
        <v>274</v>
      </c>
      <c r="N12" s="37">
        <v>16</v>
      </c>
      <c r="O12" s="37" t="s">
        <v>268</v>
      </c>
    </row>
    <row r="13" spans="1:18">
      <c r="A13" s="28" t="s">
        <v>267</v>
      </c>
      <c r="B13" s="29" t="s">
        <v>177</v>
      </c>
      <c r="C13" s="23"/>
      <c r="F13" s="2"/>
      <c r="G13" s="2"/>
      <c r="H13" s="2"/>
      <c r="I13" s="2" t="s">
        <v>194</v>
      </c>
      <c r="J13" s="2"/>
      <c r="K13"/>
      <c r="M13" s="37" t="s">
        <v>275</v>
      </c>
      <c r="N13" s="37">
        <v>38</v>
      </c>
      <c r="O13" s="37" t="s">
        <v>268</v>
      </c>
    </row>
    <row r="14" spans="1:18">
      <c r="A14" s="28" t="s">
        <v>176</v>
      </c>
      <c r="B14" s="29" t="s">
        <v>177</v>
      </c>
      <c r="C14" s="23"/>
      <c r="M14" s="37" t="s">
        <v>276</v>
      </c>
      <c r="N14" s="37">
        <f>IF(B12="Rolling",8,18)</f>
        <v>8</v>
      </c>
      <c r="O14" s="37" t="s">
        <v>268</v>
      </c>
    </row>
    <row r="15" spans="1:18">
      <c r="A15" s="28" t="s">
        <v>178</v>
      </c>
      <c r="B15" s="29">
        <v>32.299999999999997</v>
      </c>
      <c r="C15" s="23"/>
      <c r="M15" s="37" t="s">
        <v>277</v>
      </c>
      <c r="N15" s="37">
        <f>IF(B10=8,1,2)*B2*B3+84</f>
        <v>12216948</v>
      </c>
      <c r="O15" s="37" t="s">
        <v>278</v>
      </c>
    </row>
    <row r="16" spans="1:18" hidden="1">
      <c r="A16" s="33" t="s">
        <v>172</v>
      </c>
      <c r="B16" s="34" t="str">
        <f>IF((B10&lt;=8),"1","2")</f>
        <v>1</v>
      </c>
      <c r="C16" s="23"/>
      <c r="M16" s="171"/>
      <c r="N16" s="172"/>
      <c r="O16" s="173"/>
    </row>
    <row r="17" spans="1:15" hidden="1">
      <c r="A17" s="33" t="s">
        <v>173</v>
      </c>
      <c r="B17" s="34">
        <f>N15</f>
        <v>12216948</v>
      </c>
      <c r="C17" s="23"/>
      <c r="M17" s="39" t="s">
        <v>353</v>
      </c>
      <c r="N17" s="40">
        <f>N10+MAX(N6+N13-N10,2+N11+ROUNDUP(1000*N9/N8,0))</f>
        <v>3084</v>
      </c>
      <c r="O17" s="41" t="s">
        <v>268</v>
      </c>
    </row>
    <row r="18" spans="1:15" hidden="1">
      <c r="A18" s="33" t="s">
        <v>174</v>
      </c>
      <c r="B18" s="34">
        <f>N8</f>
        <v>10000</v>
      </c>
      <c r="C18" s="23"/>
      <c r="M18" s="39" t="s">
        <v>296</v>
      </c>
      <c r="N18" s="40">
        <f>ROUNDUP(B8*1000/N8,0)+N14</f>
        <v>3008</v>
      </c>
      <c r="O18" s="41" t="s">
        <v>268</v>
      </c>
    </row>
    <row r="19" spans="1:15" hidden="1">
      <c r="A19" s="33" t="s">
        <v>175</v>
      </c>
      <c r="B19" s="34">
        <f>B20</f>
        <v>40730000</v>
      </c>
      <c r="C19" s="23"/>
      <c r="M19" s="42" t="s">
        <v>367</v>
      </c>
      <c r="N19" s="40">
        <f>N17+N18+ROUNDUP(B9*1000/N8,0)+N12</f>
        <v>6108</v>
      </c>
      <c r="O19" s="41" t="s">
        <v>268</v>
      </c>
    </row>
    <row r="20" spans="1:15" hidden="1">
      <c r="A20" s="33" t="s">
        <v>179</v>
      </c>
      <c r="B20" s="34">
        <f>N22</f>
        <v>40730000</v>
      </c>
      <c r="C20" s="23"/>
      <c r="M20" s="39" t="s">
        <v>298</v>
      </c>
      <c r="N20" s="43">
        <f>ROUNDUP(((1000000000/B15)/N8)*IF(B14="on",1,0),0)</f>
        <v>0</v>
      </c>
      <c r="O20" s="41" t="s">
        <v>268</v>
      </c>
    </row>
    <row r="21" spans="1:15">
      <c r="A21" s="155" t="s">
        <v>180</v>
      </c>
      <c r="B21" s="156"/>
      <c r="C21" s="23"/>
      <c r="M21" s="39" t="s">
        <v>302</v>
      </c>
      <c r="N21" s="43">
        <f>ROUNDUP((MAX((B17*1000000/B11),B17*10/3950)*1000/N8),0)</f>
        <v>4073</v>
      </c>
      <c r="O21" s="41" t="s">
        <v>268</v>
      </c>
    </row>
    <row r="22" spans="1:15" ht="22.5">
      <c r="A22" s="35" t="s">
        <v>181</v>
      </c>
      <c r="B22" s="36">
        <f>1000000000/B20</f>
        <v>24.551927326295115</v>
      </c>
      <c r="C22" s="23" t="str">
        <f>IF(OR(B3&gt;H7/B5,B3&gt;H7/B7,B3&lt;2,B2&gt;G7/B4,B2&gt;G7/B6,B2&lt;16),I6,"")</f>
        <v/>
      </c>
      <c r="M22" s="44" t="s">
        <v>368</v>
      </c>
      <c r="N22" s="45">
        <f>IF(B13="off",MAX(N17,N18,N20,N21),MAX(N19,N20))*N8</f>
        <v>40730000</v>
      </c>
      <c r="O22" s="44" t="s">
        <v>369</v>
      </c>
    </row>
    <row r="29" spans="1:15" hidden="1"/>
    <row r="30" spans="1:15" hidden="1"/>
    <row r="31" spans="1:15" hidden="1"/>
    <row r="32" spans="1:15" hidden="1"/>
    <row r="33" hidden="1"/>
  </sheetData>
  <sheetProtection algorithmName="SHA-512" hashValue="97Fqc3GmcQ8k4mR8FAXL6T26FZzl4uG606zI4uJylMxchBISKvTSC/tiN8EG8tI6Rwg4lwi+IFBkYABLwDQubg==" saltValue="sU4xXumlDZtXstyPtBWitA==" spinCount="100000" sheet="1" objects="1" scenarios="1" selectLockedCells="1"/>
  <mergeCells count="6">
    <mergeCell ref="A21:B21"/>
    <mergeCell ref="A1:B1"/>
    <mergeCell ref="M1:O1"/>
    <mergeCell ref="M4:O4"/>
    <mergeCell ref="M7:O7"/>
    <mergeCell ref="M16:O16"/>
  </mergeCells>
  <phoneticPr fontId="21" type="noConversion"/>
  <conditionalFormatting sqref="B4">
    <cfRule type="expression" dxfId="80" priority="4">
      <formula>AND(B6&gt;1,B4&gt;1)</formula>
    </cfRule>
  </conditionalFormatting>
  <conditionalFormatting sqref="B5">
    <cfRule type="expression" dxfId="79" priority="2">
      <formula>AND(B5&gt;1,B7&gt;1)</formula>
    </cfRule>
  </conditionalFormatting>
  <conditionalFormatting sqref="B6">
    <cfRule type="expression" dxfId="78" priority="3">
      <formula>AND(B6&gt;1,B4&gt;1)</formula>
    </cfRule>
  </conditionalFormatting>
  <conditionalFormatting sqref="B7">
    <cfRule type="expression" dxfId="77" priority="1">
      <formula>AND(B5&gt;1,B7&gt;1)</formula>
    </cfRule>
  </conditionalFormatting>
  <dataValidations count="10">
    <dataValidation type="custom" allowBlank="1" showInputMessage="1" showErrorMessage="1" errorTitle="Input parameter error" error="Input parameter error，please input parameter according to message_x000a_" sqref="B2" xr:uid="{00000000-0002-0000-2100-000000000000}">
      <formula1>AND(MOD(B2,8)=0,B2&gt;=16,B2&lt;=G7/(B4*B6))</formula1>
    </dataValidation>
    <dataValidation type="custom" allowBlank="1" showInputMessage="1" showErrorMessage="1" errorTitle="Input parameter error" error="Input parameter error，please input parameter according to message" sqref="B3" xr:uid="{00000000-0002-0000-2100-000001000000}">
      <formula1>AND(MOD(B3,2)=0,B3&gt;=2,B3&lt;=H7/(B5*B7))</formula1>
    </dataValidation>
    <dataValidation type="whole" allowBlank="1" showInputMessage="1" showErrorMessage="1" errorTitle="Input parameter error" error="Input range is 10-1000000" sqref="B8" xr:uid="{00000000-0002-0000-2100-000002000000}">
      <formula1>R2</formula1>
      <formula2>R3</formula2>
    </dataValidation>
    <dataValidation type="custom" allowBlank="1" showInputMessage="1" showErrorMessage="1" errorTitle="Input parameter error" error="Input renge from 0.1 to 10000,step 0.1" sqref="B15" xr:uid="{00000000-0002-0000-2100-000003000000}">
      <formula1>AND(MOD(10*B15,1)=0,B15&gt;=0.1,B15&lt;=10000)</formula1>
    </dataValidation>
    <dataValidation type="whole" allowBlank="1" showInputMessage="1" showErrorMessage="1" errorTitle="Input parameter error" error="Input range is 0-5000" sqref="B9" xr:uid="{00000000-0002-0000-2100-000004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100-000005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sqref="B12" xr:uid="{00000000-0002-0000-2100-000006000000}">
      <formula1>"Rolling,GlobalReset"</formula1>
    </dataValidation>
    <dataValidation type="list" allowBlank="1" showInputMessage="1" showErrorMessage="1" errorTitle="Input parameter error" error="input 8 or 12" sqref="B10" xr:uid="{00000000-0002-0000-2100-000007000000}">
      <formula1>"8,12"</formula1>
    </dataValidation>
    <dataValidation type="list" allowBlank="1" showInputMessage="1" showErrorMessage="1" errorTitle="参数输入错误" error="Input range is 1,2,4" sqref="B4:B7" xr:uid="{00000000-0002-0000-2100-000008000000}">
      <formula1>"1,2,4"</formula1>
    </dataValidation>
    <dataValidation type="list" allowBlank="1" showInputMessage="1" showErrorMessage="1" errorTitle="Input parameter error" error="Input off or on" sqref="B13:B14" xr:uid="{00000000-0002-0000-2100-000009000000}">
      <formula1>"on,off"</formula1>
    </dataValidation>
  </dataValidations>
  <pageMargins left="0.7" right="0.7" top="0.75" bottom="0.75" header="0.3" footer="0.3"/>
  <pageSetup paperSize="9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L25"/>
  <sheetViews>
    <sheetView workbookViewId="0">
      <selection activeCell="B2" sqref="B2"/>
    </sheetView>
  </sheetViews>
  <sheetFormatPr defaultColWidth="9" defaultRowHeight="15"/>
  <cols>
    <col min="1" max="1" width="30.1406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9" hidden="1" customWidth="1"/>
    <col min="9" max="9" width="15.140625" hidden="1" customWidth="1"/>
    <col min="10" max="10" width="25.140625" hidden="1" customWidth="1"/>
    <col min="11" max="11" width="24.5703125" hidden="1" customWidth="1"/>
    <col min="12" max="12" width="9" hidden="1" customWidth="1"/>
  </cols>
  <sheetData>
    <row r="1" spans="1:10">
      <c r="A1" s="153" t="s">
        <v>165</v>
      </c>
      <c r="B1" s="17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4096</v>
      </c>
      <c r="C2" s="5" t="str">
        <f>IF(OR(B4=2,B5=2),"Input must equal to 2048!",IF(OR(B2&gt;4096/B6,B2&lt;16),LOOKUP(B6,F3:F5,I3:I5),""))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3000</v>
      </c>
      <c r="C3" s="5" t="str">
        <f>IF(OR(B4=2,B5=2),"Input must equal to 1500!",IF(OR(B3&gt;3000/B7,B3&lt;2),LOOKUP(B7,F3:F5,J3:J5),""))</f>
        <v/>
      </c>
      <c r="D3" s="2"/>
      <c r="E3" s="2"/>
      <c r="F3" s="2">
        <v>1</v>
      </c>
      <c r="G3" s="2">
        <v>4096</v>
      </c>
      <c r="H3" s="2">
        <v>3000</v>
      </c>
      <c r="I3" s="2" t="s">
        <v>379</v>
      </c>
      <c r="J3" s="2" t="s">
        <v>380</v>
      </c>
    </row>
    <row r="4" spans="1:10">
      <c r="A4" s="6" t="s">
        <v>238</v>
      </c>
      <c r="B4" s="7">
        <v>1</v>
      </c>
      <c r="C4" s="5" t="str">
        <f>IF(B4=B5,"","The horizontal and vertical skipping coefficients must be equal！")</f>
        <v/>
      </c>
      <c r="D4" s="2"/>
      <c r="E4" s="2"/>
      <c r="F4" s="2">
        <v>2</v>
      </c>
      <c r="G4" s="2">
        <v>2048</v>
      </c>
      <c r="H4" s="2">
        <v>1500</v>
      </c>
      <c r="I4" s="2" t="s">
        <v>303</v>
      </c>
      <c r="J4" s="2" t="s">
        <v>381</v>
      </c>
    </row>
    <row r="5" spans="1:10">
      <c r="A5" s="6" t="s">
        <v>240</v>
      </c>
      <c r="B5" s="7">
        <v>1</v>
      </c>
      <c r="C5" s="5" t="str">
        <f>IF(B4=B5,"","The horizontal and vertical skipping coefficients must be equal！")</f>
        <v/>
      </c>
      <c r="D5" s="2"/>
      <c r="E5" s="2"/>
      <c r="F5" s="2">
        <v>4</v>
      </c>
      <c r="G5" s="2">
        <v>1024</v>
      </c>
      <c r="H5" s="2">
        <v>750</v>
      </c>
      <c r="I5" s="2" t="s">
        <v>305</v>
      </c>
      <c r="J5" s="2" t="s">
        <v>382</v>
      </c>
    </row>
    <row r="6" spans="1:10">
      <c r="A6" s="6" t="s">
        <v>187</v>
      </c>
      <c r="B6" s="7">
        <v>1</v>
      </c>
      <c r="C6" s="5" t="str">
        <f>IF(AND(B6&gt;1,B4&gt;1),"Horizontal Binning and Skipping cannot be set greater than 2 at the same time",IF(AND(B8="Sensor",B6&gt;1),"Only supports BinningHorizontal of 1 when BinningSelect is Sensor mode",""))</f>
        <v/>
      </c>
      <c r="D6" s="2"/>
      <c r="E6" s="2"/>
      <c r="F6" s="2"/>
      <c r="G6" s="2"/>
      <c r="H6" s="2"/>
      <c r="I6" s="20" t="s">
        <v>383</v>
      </c>
      <c r="J6" s="2"/>
    </row>
    <row r="7" spans="1:10">
      <c r="A7" s="6" t="s">
        <v>190</v>
      </c>
      <c r="B7" s="7">
        <v>1</v>
      </c>
      <c r="C7" s="5" t="str">
        <f>IF(AND(B7&gt;1,B5&gt;1),"Veitical Binning and Skipping cannot be set greater than 2 at the same time",IF(AND(B8="Sensor",B7&gt;2),"Only supports BinningVertical of 1 or 2 when BinningSelect is Sensor mode",""))</f>
        <v/>
      </c>
      <c r="D7" s="2"/>
      <c r="E7" s="2"/>
      <c r="F7" s="2"/>
      <c r="G7" s="2">
        <v>4096</v>
      </c>
      <c r="H7" s="2">
        <v>3000</v>
      </c>
      <c r="I7" s="2"/>
      <c r="J7" s="2"/>
    </row>
    <row r="8" spans="1:10">
      <c r="A8" s="6" t="s">
        <v>309</v>
      </c>
      <c r="B8" s="7" t="s">
        <v>310</v>
      </c>
      <c r="C8" s="5" t="str">
        <f>IF(B8="Region0","","Only monochrome cameras support this feature！")</f>
        <v/>
      </c>
      <c r="D8" s="2"/>
      <c r="E8" s="2"/>
      <c r="F8" s="2" t="s">
        <v>311</v>
      </c>
      <c r="G8" s="2" t="s">
        <v>312</v>
      </c>
      <c r="H8" s="2"/>
      <c r="I8" s="2"/>
      <c r="J8" s="2"/>
    </row>
    <row r="9" spans="1:10">
      <c r="A9" s="6" t="s">
        <v>196</v>
      </c>
      <c r="B9" s="7" t="s">
        <v>197</v>
      </c>
      <c r="C9" s="2"/>
      <c r="D9" s="2"/>
      <c r="E9" s="2"/>
      <c r="F9" s="2"/>
      <c r="G9" s="2">
        <f>IF(AND(B8="Sensor",B7=2),1,B7)</f>
        <v>1</v>
      </c>
      <c r="H9" s="2"/>
      <c r="I9" s="2"/>
      <c r="J9" s="2"/>
    </row>
    <row r="10" spans="1:10">
      <c r="A10" s="3" t="s">
        <v>168</v>
      </c>
      <c r="B10" s="7">
        <v>40000</v>
      </c>
      <c r="C10" s="5" t="str">
        <f>IF(AND(B9="UltraShort",B10&gt;100),"Exposure time of Ultrashort exposure mode should not be less than 100us！","")</f>
        <v/>
      </c>
      <c r="D10" s="2"/>
      <c r="E10" s="2"/>
      <c r="F10" s="2" t="s">
        <v>198</v>
      </c>
      <c r="G10" s="2" t="s">
        <v>183</v>
      </c>
      <c r="H10" s="2" t="s">
        <v>184</v>
      </c>
      <c r="I10" s="2"/>
      <c r="J10" s="2"/>
    </row>
    <row r="11" spans="1:10">
      <c r="A11" s="3" t="s">
        <v>315</v>
      </c>
      <c r="B11" s="7">
        <v>8</v>
      </c>
      <c r="C11" s="2"/>
      <c r="D11" s="2"/>
      <c r="E11" s="2"/>
      <c r="F11" s="2">
        <v>1</v>
      </c>
      <c r="G11" s="2">
        <v>4096</v>
      </c>
      <c r="H11" s="2">
        <v>3000</v>
      </c>
      <c r="I11" s="2" t="s">
        <v>384</v>
      </c>
      <c r="J11" s="2" t="s">
        <v>385</v>
      </c>
    </row>
    <row r="12" spans="1:10">
      <c r="A12" s="3" t="s">
        <v>170</v>
      </c>
      <c r="B12" s="7">
        <v>300000000</v>
      </c>
      <c r="C12" s="2"/>
      <c r="D12" s="2"/>
      <c r="E12" s="2"/>
      <c r="F12" s="2">
        <v>2</v>
      </c>
      <c r="G12" s="2">
        <v>2048</v>
      </c>
      <c r="H12" s="2">
        <v>1500</v>
      </c>
      <c r="I12" s="2" t="s">
        <v>386</v>
      </c>
      <c r="J12" s="2" t="s">
        <v>387</v>
      </c>
    </row>
    <row r="13" spans="1:10" hidden="1">
      <c r="A13" s="3" t="s">
        <v>171</v>
      </c>
      <c r="B13" s="7">
        <f>IF(B9="Standard",MAX(ROUNDUP((B10-14.26)/B16,0),1),IF(B10&gt;16,ROUNDUP((B10-14.26),0),1))</f>
        <v>2857</v>
      </c>
      <c r="C13" s="2"/>
      <c r="D13" s="2"/>
      <c r="E13" s="2"/>
      <c r="F13" s="2"/>
      <c r="G13" s="2"/>
      <c r="H13" s="2"/>
      <c r="I13" s="2"/>
      <c r="J13" s="2"/>
    </row>
    <row r="14" spans="1:10" hidden="1">
      <c r="A14" s="3" t="s">
        <v>172</v>
      </c>
      <c r="B14" s="7" t="str">
        <f>IF((B11&lt;=8),"1","2")</f>
        <v>1</v>
      </c>
      <c r="C14" s="2"/>
      <c r="D14" s="2"/>
      <c r="E14" s="2"/>
      <c r="F14" s="2"/>
      <c r="G14" s="2"/>
      <c r="H14" s="2"/>
      <c r="I14" s="20" t="s">
        <v>383</v>
      </c>
      <c r="J14" s="2"/>
    </row>
    <row r="15" spans="1:10" hidden="1">
      <c r="A15" s="3" t="s">
        <v>173</v>
      </c>
      <c r="B15" s="7">
        <f>B2*B3*B14+84</f>
        <v>12288084</v>
      </c>
      <c r="C15" s="2"/>
      <c r="D15" s="2"/>
      <c r="E15" s="2"/>
      <c r="F15" s="2"/>
      <c r="G15" s="2">
        <v>4096</v>
      </c>
      <c r="H15" s="2">
        <v>3000</v>
      </c>
      <c r="I15" s="2"/>
      <c r="J15" s="2"/>
    </row>
    <row r="16" spans="1:10" hidden="1">
      <c r="A16" s="3" t="s">
        <v>174</v>
      </c>
      <c r="B16" s="7">
        <f>ROUNDUP(IF(B11=8,I19/37.5,2*I19/37.5)*1000,10)/1000</f>
        <v>14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175</v>
      </c>
      <c r="B17" s="7">
        <f>IF(B9="Standard",(B3*G9+34)*B16,ROUNDUP((B3*G9+34)*B16,0)+10)</f>
        <v>42476</v>
      </c>
      <c r="C17" s="2"/>
      <c r="D17" s="2"/>
      <c r="E17" s="2"/>
      <c r="F17" s="2"/>
      <c r="G17" s="2"/>
      <c r="H17" s="2"/>
      <c r="I17" s="21"/>
      <c r="J17" s="2"/>
    </row>
    <row r="18" spans="1:10">
      <c r="A18" s="3" t="s">
        <v>176</v>
      </c>
      <c r="B18" s="7" t="s">
        <v>177</v>
      </c>
      <c r="C18" s="2"/>
      <c r="D18" s="2"/>
      <c r="E18" s="2"/>
      <c r="F18" s="2"/>
      <c r="G18" s="2"/>
      <c r="H18" s="2"/>
      <c r="I18" s="21"/>
      <c r="J18" s="2"/>
    </row>
    <row r="19" spans="1:10">
      <c r="A19" s="3" t="s">
        <v>178</v>
      </c>
      <c r="B19" s="7">
        <v>23.5</v>
      </c>
      <c r="C19" s="2"/>
      <c r="D19" s="2"/>
      <c r="E19" s="2"/>
      <c r="F19" s="2"/>
      <c r="G19" s="2"/>
      <c r="H19" s="2" t="s">
        <v>210</v>
      </c>
      <c r="I19" s="2">
        <v>525</v>
      </c>
      <c r="J19" s="2"/>
    </row>
    <row r="20" spans="1:10" hidden="1">
      <c r="A20" s="6" t="s">
        <v>179</v>
      </c>
      <c r="B20" s="95">
        <f>MAX(I20,I21,I22,I23)</f>
        <v>42476</v>
      </c>
      <c r="C20" s="5"/>
      <c r="D20" s="2"/>
      <c r="E20" s="2"/>
      <c r="F20" s="2"/>
      <c r="G20" s="2"/>
      <c r="H20" s="2" t="s">
        <v>211</v>
      </c>
      <c r="I20" s="2">
        <f>IF(B9="Standard",ROUNDUP((B13+12)*B16,0),B13+ROUNDUP((B3*G9+34)*B16,0)+10+20)</f>
        <v>40166</v>
      </c>
      <c r="J20" s="2"/>
    </row>
    <row r="21" spans="1:10">
      <c r="A21" s="175" t="s">
        <v>354</v>
      </c>
      <c r="B21" s="176"/>
      <c r="H21" t="s">
        <v>212</v>
      </c>
      <c r="I21">
        <f>IF(B9="Standard",ROUNDUP((B3*G9+34)*B16,0),ROUNDUP((B3*G9+34)*B16,0)+10)</f>
        <v>42476</v>
      </c>
    </row>
    <row r="22" spans="1:10" ht="22.5">
      <c r="A22" s="11" t="s">
        <v>181</v>
      </c>
      <c r="B22" s="12">
        <f>1000000/B20</f>
        <v>23.542706469535737</v>
      </c>
      <c r="C22" s="19" t="str">
        <f>IF(OR(B3&gt;3000/B7,AND(B3&lt;&gt;1500,B5=2),B3&lt;2,B2&gt;4096/B6,AND(B2&lt;&gt;2048,B4=2),B2&lt;16),I6,"")</f>
        <v/>
      </c>
      <c r="H22" s="2" t="s">
        <v>213</v>
      </c>
      <c r="I22">
        <f>IF(B9="Standard",ROUNDUP(MAX(ROUNDUP(B15*1000000/395000000/B16,0),ROUNDUP(B15*1000000/B12/B16,0))*B16,0),MAX(ROUNDUP(B15*1000000/395000000,0),ROUNDUP(B15*1000000/B12,0)))</f>
        <v>40964</v>
      </c>
    </row>
    <row r="23" spans="1:10">
      <c r="H23" s="2" t="s">
        <v>214</v>
      </c>
      <c r="I23">
        <f>IF(B9="Standard",B16*(IF(B18="off",0,1))*ROUNDUP(1000*1000/(B16*B19),0),(IF(B18="off",0,1))*ROUNDUP(1000*1000/B19,0))</f>
        <v>0</v>
      </c>
    </row>
    <row r="25" spans="1:10">
      <c r="C25" s="19"/>
    </row>
  </sheetData>
  <sheetProtection algorithmName="SHA-512" hashValue="kptFGeeIR//oiPy45piFAjWObmFC+9o52qQPPBq1VbYcXWif6HgP/8/UXqPKhoLaI9nyjHdlPfQOE6/82Hs//g==" saltValue="4B9wxN5k2RUTRWZYMPb5xg==" spinCount="100000" sheet="1" selectLockedCells="1"/>
  <mergeCells count="2">
    <mergeCell ref="A1:B1"/>
    <mergeCell ref="A21:B21"/>
  </mergeCells>
  <phoneticPr fontId="21" type="noConversion"/>
  <conditionalFormatting sqref="B2">
    <cfRule type="cellIs" dxfId="76" priority="5" operator="notBetween">
      <formula>16</formula>
      <formula>$G$15</formula>
    </cfRule>
    <cfRule type="cellIs" dxfId="75" priority="7" operator="notBetween">
      <formula>16</formula>
      <formula>$G$7</formula>
    </cfRule>
  </conditionalFormatting>
  <conditionalFormatting sqref="B3">
    <cfRule type="cellIs" dxfId="74" priority="4" operator="notBetween">
      <formula>2</formula>
      <formula>$H$7</formula>
    </cfRule>
    <cfRule type="cellIs" dxfId="73" priority="6" operator="notBetween">
      <formula>2</formula>
      <formula>$H$15</formula>
    </cfRule>
  </conditionalFormatting>
  <conditionalFormatting sqref="B6">
    <cfRule type="expression" dxfId="72" priority="1">
      <formula>AND(#REF!&gt;1,B6&gt;1)</formula>
    </cfRule>
  </conditionalFormatting>
  <conditionalFormatting sqref="B7:B8">
    <cfRule type="expression" dxfId="71" priority="2">
      <formula>AND(B7&gt;1,#REF!&gt;1)</formula>
    </cfRule>
  </conditionalFormatting>
  <dataValidations count="12">
    <dataValidation type="list" allowBlank="1" showInputMessage="1" showErrorMessage="1" errorTitle="参数输入错误" error="可输入的值为1,2,4" sqref="B8" xr:uid="{00000000-0002-0000-2200-000000000000}">
      <formula1>"Region0,Sensor"</formula1>
    </dataValidation>
    <dataValidation type="custom" allowBlank="1" showInputMessage="1" showErrorMessage="1" errorTitle="参数输入错误" error="Input range from 16 to 4096,and is an integer multiple of 8" sqref="B2" xr:uid="{00000000-0002-0000-2200-000001000000}">
      <formula1>AND(MOD(B2,8)=0,B2&gt;=16,B2&lt;=4096/B6)</formula1>
    </dataValidation>
    <dataValidation type="custom" allowBlank="1" showInputMessage="1" showErrorMessage="1" errorTitle="参数输入错误" error="Input range from 2 to 3000,and is an integer multiple of 2" sqref="B3" xr:uid="{00000000-0002-0000-2200-000002000000}">
      <formula1>AND(MOD(B3,2)=0,B3&gt;=2,B3&lt;=3000/B7)</formula1>
    </dataValidation>
    <dataValidation type="custom" allowBlank="1" showInputMessage="1" showErrorMessage="1" errorTitle="参数输入错误" error="8bit mode range from 35000000 to 400000000,step 1000000;_x000a_12bit mode range from 70000000 to 400000000,step 1000000" sqref="B12" xr:uid="{00000000-0002-0000-2200-000003000000}">
      <formula1>OR(AND(B11=8,B12&gt;=35000000,B12&lt;=400000000,MOD(B12,1000000)=0),AND(B11=12,B12&gt;=70000000,B12&lt;=400000000,MOD(B12,1000000)=0))</formula1>
    </dataValidation>
    <dataValidation type="list" allowBlank="1" showInputMessage="1" showErrorMessage="1" errorTitle="参数输入错误" error="Binning选择Region0模式可输入的值为1,2,4；Binning选择Sensor模式可输入的值为1" sqref="B6" xr:uid="{00000000-0002-0000-2200-000004000000}">
      <formula1>IF($B$8="Region0",$F$3:$F$5,$F$3)</formula1>
    </dataValidation>
    <dataValidation type="list" allowBlank="1" showInputMessage="1" showErrorMessage="1" errorTitle="参数输入错误" error="Binning选择Region0模式可输入的值为1,2,4；Binning选择Sensor模式可输入的值为1,2" sqref="B7" xr:uid="{00000000-0002-0000-2200-000005000000}">
      <formula1>IF($B$8="Region0",$F$3:$F$5,$F$3:$F$4)</formula1>
    </dataValidation>
    <dataValidation type="list" allowBlank="1" showInputMessage="1" showErrorMessage="1" errorTitle="参数输入错误" error="Input &quot;Standard&quot; or &quot;UltraShort&quot;" sqref="B9" xr:uid="{00000000-0002-0000-2200-000006000000}">
      <formula1>"Standard,UltraShort"</formula1>
    </dataValidation>
    <dataValidation type="list" allowBlank="1" showInputMessage="1" showErrorMessage="1" errorTitle="参数输入错误" error="Input 8 or 12" sqref="B11" xr:uid="{00000000-0002-0000-2200-000007000000}">
      <formula1>"8,12"</formula1>
    </dataValidation>
    <dataValidation type="custom" allowBlank="1" showInputMessage="1" showErrorMessage="1" errorTitle="参数输入错误" error="Standard：_x000a_Exposure time range 28-1000000_x000a_UltraShort：_x000a_Exposure time range 1-100" sqref="B10" xr:uid="{00000000-0002-0000-2200-000008000000}">
      <formula1>OR(AND(B9="UltraShort",B10&gt;=1,B10&lt;=100),AND(B9="Standard",B10&gt;=28,B10&lt;=1000000))</formula1>
    </dataValidation>
    <dataValidation type="list" allowBlank="1" showInputMessage="1" showErrorMessage="1" errorTitle="参数输入错误" error="Input &quot;on&quot; or &quot;off&quot; only" sqref="B18" xr:uid="{00000000-0002-0000-2200-000009000000}">
      <formula1>"on,off"</formula1>
    </dataValidation>
    <dataValidation type="custom" allowBlank="1" showInputMessage="1" showErrorMessage="1" errorTitle="参数输入错误" error="Input range from 0.1 to 10000,step 0.1" sqref="B19" xr:uid="{00000000-0002-0000-2200-00000A000000}">
      <formula1>AND(MOD(10*B19,1)=0,B19&gt;=0.1,B19&lt;=10000)</formula1>
    </dataValidation>
    <dataValidation type="list" allowBlank="1" showInputMessage="1" showErrorMessage="1" errorTitle="参数输入错误" error="Input 1 or 2" sqref="B4:B5" xr:uid="{00000000-0002-0000-2200-00000B000000}">
      <formula1>"1,2"</formula1>
    </dataValidation>
  </dataValidations>
  <pageMargins left="0.7" right="0.7" top="0.75" bottom="0.75" header="0.3" footer="0.3"/>
  <pageSetup paperSize="9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J24"/>
  <sheetViews>
    <sheetView workbookViewId="0">
      <selection activeCell="D21" sqref="D21"/>
    </sheetView>
  </sheetViews>
  <sheetFormatPr defaultColWidth="9" defaultRowHeight="15"/>
  <cols>
    <col min="1" max="1" width="30.1406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5.42578125" hidden="1" customWidth="1"/>
    <col min="9" max="9" width="15.140625" hidden="1" customWidth="1"/>
    <col min="10" max="10" width="25.140625" hidden="1" customWidth="1"/>
    <col min="11" max="11" width="24.5703125" customWidth="1"/>
  </cols>
  <sheetData>
    <row r="1" spans="1:10">
      <c r="A1" s="153" t="s">
        <v>165</v>
      </c>
      <c r="B1" s="17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4096</v>
      </c>
      <c r="C2" s="5" t="str">
        <f>IF(OR(B4=2,B5=2),"Input must equal to 2048!",IF(OR(B2&gt;4096/B6,B2&lt;16),LOOKUP(B6,F3:F5,I3:I5),""))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3000</v>
      </c>
      <c r="C3" s="5" t="str">
        <f>IF(OR(B4=2,B5=2),"Input must equal to 1500!",IF(OR(B3&gt;3000/B7,B3&lt;2),LOOKUP(B7,F3:F5,J3:J5),""))</f>
        <v/>
      </c>
      <c r="D3" s="2"/>
      <c r="E3" s="2"/>
      <c r="F3" s="2">
        <v>1</v>
      </c>
      <c r="G3" s="2">
        <v>4096</v>
      </c>
      <c r="H3" s="2">
        <v>3000</v>
      </c>
      <c r="I3" s="2" t="s">
        <v>379</v>
      </c>
      <c r="J3" s="2" t="s">
        <v>380</v>
      </c>
    </row>
    <row r="4" spans="1:10">
      <c r="A4" s="6" t="s">
        <v>238</v>
      </c>
      <c r="B4" s="7">
        <v>1</v>
      </c>
      <c r="C4" s="5" t="str">
        <f>IF(B4=B5,"","The horizontal and vertical skipping coefficients must be equal！")</f>
        <v/>
      </c>
      <c r="D4" s="2"/>
      <c r="E4" s="2"/>
      <c r="F4" s="2">
        <v>2</v>
      </c>
      <c r="G4" s="2">
        <v>2048</v>
      </c>
      <c r="H4" s="2">
        <v>1500</v>
      </c>
      <c r="I4" s="2" t="s">
        <v>303</v>
      </c>
      <c r="J4" s="2" t="s">
        <v>381</v>
      </c>
    </row>
    <row r="5" spans="1:10">
      <c r="A5" s="6" t="s">
        <v>240</v>
      </c>
      <c r="B5" s="7">
        <v>1</v>
      </c>
      <c r="C5" s="5" t="str">
        <f>IF(B4=B5,"","The horizontal and vertical skipping coefficients must be equal！")</f>
        <v/>
      </c>
      <c r="D5" s="2"/>
      <c r="E5" s="2"/>
      <c r="F5" s="2">
        <v>4</v>
      </c>
      <c r="G5" s="2">
        <v>1024</v>
      </c>
      <c r="H5" s="2">
        <v>750</v>
      </c>
      <c r="I5" s="2" t="s">
        <v>305</v>
      </c>
      <c r="J5" s="2" t="s">
        <v>382</v>
      </c>
    </row>
    <row r="6" spans="1:10">
      <c r="A6" s="6" t="s">
        <v>187</v>
      </c>
      <c r="B6" s="7">
        <v>1</v>
      </c>
      <c r="C6" s="5" t="str">
        <f>IF(AND(B6&gt;1,B4&gt;1),"Horizontal Binning and Skipping cannot be set greater than 2 at the same time","")</f>
        <v/>
      </c>
      <c r="D6" s="2"/>
      <c r="E6" s="2"/>
      <c r="F6" s="2"/>
      <c r="G6" s="2"/>
      <c r="H6" s="2"/>
      <c r="I6" s="20" t="s">
        <v>383</v>
      </c>
      <c r="J6" s="2"/>
    </row>
    <row r="7" spans="1:10">
      <c r="A7" s="6" t="s">
        <v>190</v>
      </c>
      <c r="B7" s="7">
        <v>1</v>
      </c>
      <c r="C7" s="5" t="str">
        <f>IF(AND(B7&gt;1,B5&gt;1),"Vertical Binning and Skipping cannot be set greater than 2 at the same time","")</f>
        <v/>
      </c>
      <c r="D7" s="2"/>
      <c r="E7" s="2"/>
      <c r="F7" s="2"/>
      <c r="G7" s="2">
        <v>4096</v>
      </c>
      <c r="H7" s="2">
        <v>3000</v>
      </c>
      <c r="I7" s="2"/>
      <c r="J7" s="2"/>
    </row>
    <row r="8" spans="1:10">
      <c r="A8" s="6" t="s">
        <v>196</v>
      </c>
      <c r="B8" s="7" t="s">
        <v>197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168</v>
      </c>
      <c r="B9" s="7">
        <v>30000</v>
      </c>
      <c r="C9" s="5" t="str">
        <f>IF(AND(B8="UltraShort",B9&gt;100),"Exposure time of Ultrashort exposure mode should not be less than 100us！","")</f>
        <v/>
      </c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315</v>
      </c>
      <c r="B10" s="7">
        <v>8</v>
      </c>
      <c r="C10" s="2"/>
      <c r="D10" s="2"/>
      <c r="E10" s="2"/>
      <c r="F10" s="2">
        <v>1</v>
      </c>
      <c r="G10" s="2">
        <v>4096</v>
      </c>
      <c r="H10" s="2">
        <v>3000</v>
      </c>
      <c r="I10" s="2" t="s">
        <v>384</v>
      </c>
      <c r="J10" s="2" t="s">
        <v>385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2</v>
      </c>
      <c r="G11" s="2">
        <v>2048</v>
      </c>
      <c r="H11" s="2">
        <v>1500</v>
      </c>
      <c r="I11" s="2" t="s">
        <v>386</v>
      </c>
      <c r="J11" s="2" t="s">
        <v>387</v>
      </c>
    </row>
    <row r="12" spans="1:10" hidden="1">
      <c r="A12" s="3" t="s">
        <v>171</v>
      </c>
      <c r="B12" s="7">
        <f>IF(B8="Standard",MAX(ROUNDUP((B9-14.26)/B15,0),1),IF(B9&gt;16,ROUNDUP((B9-14.26),0),1))</f>
        <v>2777</v>
      </c>
      <c r="C12" s="2"/>
      <c r="D12" s="2"/>
      <c r="E12" s="2"/>
      <c r="F12" s="2"/>
      <c r="G12" s="2"/>
      <c r="H12" s="2"/>
      <c r="I12" s="2"/>
      <c r="J12" s="2"/>
    </row>
    <row r="13" spans="1:10" hidden="1">
      <c r="A13" s="3" t="s">
        <v>172</v>
      </c>
      <c r="B13" s="7" t="str">
        <f>IF((B10&lt;=8),"1","2")</f>
        <v>1</v>
      </c>
      <c r="C13" s="2"/>
      <c r="D13" s="2"/>
      <c r="E13" s="2"/>
      <c r="F13" s="2"/>
      <c r="G13" s="2"/>
      <c r="H13" s="2"/>
      <c r="I13" s="20" t="s">
        <v>383</v>
      </c>
      <c r="J13" s="2"/>
    </row>
    <row r="14" spans="1:10" hidden="1">
      <c r="A14" s="3" t="s">
        <v>173</v>
      </c>
      <c r="B14" s="7">
        <f>B2*B3*B13+84</f>
        <v>12288084</v>
      </c>
      <c r="C14" s="2"/>
      <c r="D14" s="2"/>
      <c r="E14" s="2"/>
      <c r="F14" s="2"/>
      <c r="G14" s="2">
        <v>4096</v>
      </c>
      <c r="H14" s="2">
        <v>3000</v>
      </c>
      <c r="I14" s="2"/>
      <c r="J14" s="2"/>
    </row>
    <row r="15" spans="1:10" hidden="1">
      <c r="A15" s="3" t="s">
        <v>174</v>
      </c>
      <c r="B15" s="7">
        <f>ROUNDUP(IF(B10=8,I18/48.75,2*I18/48.75)*1000,10)/1000</f>
        <v>10.8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175</v>
      </c>
      <c r="B16" s="7">
        <f>IF(B8="Standard",(B3*B7+34)*B15,ROUNDUP((B3*B7+34)*B15,0)+10)</f>
        <v>32767.200000000001</v>
      </c>
      <c r="C16" s="2"/>
      <c r="D16" s="2"/>
      <c r="E16" s="2"/>
      <c r="F16" s="2"/>
      <c r="G16" s="2"/>
      <c r="H16" s="2"/>
      <c r="I16" s="21"/>
      <c r="J16" s="2"/>
    </row>
    <row r="17" spans="1:10">
      <c r="A17" s="3" t="s">
        <v>176</v>
      </c>
      <c r="B17" s="7" t="s">
        <v>177</v>
      </c>
      <c r="C17" s="2"/>
      <c r="D17" s="2"/>
      <c r="E17" s="2"/>
      <c r="F17" s="2"/>
      <c r="G17" s="2"/>
      <c r="H17" s="2"/>
      <c r="I17" s="21"/>
      <c r="J17" s="2"/>
    </row>
    <row r="18" spans="1:10">
      <c r="A18" s="3" t="s">
        <v>178</v>
      </c>
      <c r="B18" s="7">
        <v>30.5</v>
      </c>
      <c r="C18" s="2"/>
      <c r="D18" s="2"/>
      <c r="E18" s="2"/>
      <c r="F18" s="2"/>
      <c r="G18" s="2"/>
      <c r="H18" s="2" t="s">
        <v>210</v>
      </c>
      <c r="I18" s="2">
        <v>526.5</v>
      </c>
      <c r="J18" s="2"/>
    </row>
    <row r="19" spans="1:10" hidden="1">
      <c r="A19" s="6" t="s">
        <v>179</v>
      </c>
      <c r="B19" s="95">
        <f>MAX(I19,I20,I21,I22)</f>
        <v>40965</v>
      </c>
      <c r="C19" s="5"/>
      <c r="D19" s="2"/>
      <c r="E19" s="2"/>
      <c r="F19" s="2"/>
      <c r="G19" s="2"/>
      <c r="H19" s="2" t="s">
        <v>211</v>
      </c>
      <c r="I19" s="2">
        <f>IF(B8="Standard",ROUNDUP((B12+12)*B15,0),B12+ROUNDUP((B3*B7+34)*B15,0)+10+20)</f>
        <v>30122</v>
      </c>
      <c r="J19" s="2"/>
    </row>
    <row r="20" spans="1:10">
      <c r="A20" s="175" t="s">
        <v>354</v>
      </c>
      <c r="B20" s="176"/>
      <c r="H20" t="s">
        <v>212</v>
      </c>
      <c r="I20">
        <f>IF(B8="Standard",ROUNDUP((B3*B7+34)*B15,0),ROUNDUP((B3*B7+34)*B15,0)+10)</f>
        <v>32768</v>
      </c>
    </row>
    <row r="21" spans="1:10" ht="22.5">
      <c r="A21" s="11" t="s">
        <v>181</v>
      </c>
      <c r="B21" s="12">
        <f>1000000/B19</f>
        <v>24.411082631514709</v>
      </c>
      <c r="C21" s="19" t="str">
        <f>IF(OR(B3&gt;3000/B7,AND(B3&lt;&gt;1500,B5=2),B3&lt;2,B2&gt;4096/B6,AND(B2&lt;&gt;2048,B4=2),B2&lt;16),I6,"")</f>
        <v/>
      </c>
      <c r="H21" s="2" t="s">
        <v>213</v>
      </c>
      <c r="I21">
        <f>IF(B8="Standard",ROUNDUP(MAX(ROUNDUP(B14*1000000/395000000/B15,0),ROUNDUP(B14*1000000/B11/B15,0))*B15,0),MAX(ROUNDUP(B14*1000000/395000000,0),ROUNDUP(B14*1000000/B11,0)))</f>
        <v>40965</v>
      </c>
    </row>
    <row r="22" spans="1:10">
      <c r="H22" s="2" t="s">
        <v>214</v>
      </c>
      <c r="I22">
        <f>IF(B8="Standard",B15*(IF(B17="off",0,1))*ROUNDUP(1000*1000/(B15*B18),0),(IF(B17="off",0,1))*ROUNDUP(1000*1000/B18,0))</f>
        <v>0</v>
      </c>
    </row>
    <row r="24" spans="1:10">
      <c r="C24" s="19"/>
    </row>
  </sheetData>
  <sheetProtection algorithmName="SHA-512" hashValue="hf2fkQgXXGWOuNUtLMvBCFa3nIk7O5eb4PSqMAH3yEig6MdStOPLokJbCO5FGFwMmEHiret70PfS3IoiEI+7nA==" saltValue="zYMgDfzSP1/wLUwO0d9HOw==" spinCount="100000" sheet="1" objects="1" scenarios="1"/>
  <mergeCells count="2">
    <mergeCell ref="A1:B1"/>
    <mergeCell ref="A20:B20"/>
  </mergeCells>
  <phoneticPr fontId="21" type="noConversion"/>
  <conditionalFormatting sqref="B2">
    <cfRule type="cellIs" dxfId="70" priority="2" operator="notBetween">
      <formula>16</formula>
      <formula>$G$14</formula>
    </cfRule>
    <cfRule type="cellIs" dxfId="69" priority="4" operator="notBetween">
      <formula>16</formula>
      <formula>$G$7</formula>
    </cfRule>
  </conditionalFormatting>
  <conditionalFormatting sqref="B3">
    <cfRule type="cellIs" dxfId="68" priority="1" operator="notBetween">
      <formula>2</formula>
      <formula>$H$7</formula>
    </cfRule>
    <cfRule type="cellIs" dxfId="67" priority="3" operator="notBetween">
      <formula>2</formula>
      <formula>$H$14</formula>
    </cfRule>
  </conditionalFormatting>
  <conditionalFormatting sqref="B6">
    <cfRule type="expression" dxfId="66" priority="5">
      <formula>AND(#REF!&gt;1,B6&gt;1)</formula>
    </cfRule>
  </conditionalFormatting>
  <conditionalFormatting sqref="B7">
    <cfRule type="expression" dxfId="65" priority="6">
      <formula>AND(B7&gt;1,#REF!&gt;1)</formula>
    </cfRule>
  </conditionalFormatting>
  <dataValidations count="10">
    <dataValidation type="custom" allowBlank="1" showInputMessage="1" showErrorMessage="1" errorTitle="参数输入错误" error="Input range from 16 to 4096,and is an integer multiple of 8" sqref="B2" xr:uid="{00000000-0002-0000-2300-000000000000}">
      <formula1>AND(MOD(B2,8)=0,B2&gt;=16,B2&lt;=4096/B6)</formula1>
    </dataValidation>
    <dataValidation type="custom" allowBlank="1" showInputMessage="1" showErrorMessage="1" errorTitle="参数输入错误" error="Input range from 0.1 to 10000,step 0.1" sqref="B18" xr:uid="{00000000-0002-0000-2300-000001000000}">
      <formula1>AND(MOD(10*B18,1)=0,B18&gt;=0.1,B18&lt;=10000)</formula1>
    </dataValidation>
    <dataValidation type="custom" allowBlank="1" showInputMessage="1" showErrorMessage="1" errorTitle="参数输入错误" error="Input range from 2 to 3000,and is an integer multiple of 2" sqref="B3" xr:uid="{00000000-0002-0000-2300-000002000000}">
      <formula1>AND(MOD(B3,2)=0,B3&gt;=2,B3&lt;=3000/B7)</formula1>
    </dataValidation>
    <dataValidation type="list" allowBlank="1" showInputMessage="1" showErrorMessage="1" errorTitle="参数输入错误" error="Input &quot;Standard&quot; or &quot;UltraShort&quot;" sqref="B8" xr:uid="{00000000-0002-0000-2300-000003000000}">
      <formula1>"Standard,UltraShort"</formula1>
    </dataValidation>
    <dataValidation type="list" allowBlank="1" showInputMessage="1" showErrorMessage="1" errorTitle="参数输入错误" error="Input 8 or 12" sqref="B10" xr:uid="{00000000-0002-0000-2300-000004000000}">
      <formula1>"8,12"</formula1>
    </dataValidation>
    <dataValidation type="custom" allowBlank="1" showInputMessage="1" showErrorMessage="1" errorTitle="参数输入错误" error="Standard：_x000a_Exposure time range 28-1000000_x000a_UltraShort：_x000a_Exposure time range 1-100" sqref="B9" xr:uid="{00000000-0002-0000-2300-000005000000}">
      <formula1>OR(AND(B8="UltraShort",B9&gt;=1,B9&lt;=100),AND(B8="Standard",B9&gt;=28,B9&lt;=1000000))</formula1>
    </dataValidation>
    <dataValidation type="custom" allowBlank="1" showInputMessage="1" showErrorMessage="1" errorTitle="参数输入错误" error="8bit mode range from 35000000 to 400000000,step 1000000;_x000a_12bit mode range from 70000000 to 400000000,step 1000000" sqref="B11" xr:uid="{00000000-0002-0000-2300-000006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参数输入错误" error="Input &quot;on&quot; or &quot;off&quot; only" sqref="B17" xr:uid="{00000000-0002-0000-2300-000007000000}">
      <formula1>"on,off"</formula1>
    </dataValidation>
    <dataValidation type="list" allowBlank="1" showInputMessage="1" showErrorMessage="1" errorTitle="参数输入错误" error="Input 1 or 2" sqref="B4:B5" xr:uid="{00000000-0002-0000-2300-000008000000}">
      <formula1>"1,2"</formula1>
    </dataValidation>
    <dataValidation type="list" allowBlank="1" showInputMessage="1" showErrorMessage="1" errorTitle="参数输入错误" error="Input 1 or 2 or 4" sqref="B6:B7" xr:uid="{00000000-0002-0000-2300-000009000000}">
      <formula1>"1,2,4"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27"/>
  <sheetViews>
    <sheetView tabSelected="1" workbookViewId="0">
      <selection activeCell="B6" sqref="B6"/>
    </sheetView>
  </sheetViews>
  <sheetFormatPr defaultColWidth="9" defaultRowHeight="15"/>
  <cols>
    <col min="1" max="1" width="30.1406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9" hidden="1" customWidth="1"/>
    <col min="9" max="9" width="15.140625" hidden="1" customWidth="1"/>
    <col min="10" max="10" width="25.140625" hidden="1" customWidth="1"/>
    <col min="11" max="11" width="24.5703125" hidden="1" customWidth="1"/>
  </cols>
  <sheetData>
    <row r="1" spans="1:10">
      <c r="A1" s="153" t="s">
        <v>165</v>
      </c>
      <c r="B1" s="17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4096</v>
      </c>
      <c r="C2" s="5" t="str">
        <f>IF(OR(B4=2,B5=2),"Input must equal to 2048!",IF(OR(B2&gt;4096/B6,B2&lt;16),LOOKUP(B6,F3:F5,I3:I5),""))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3000</v>
      </c>
      <c r="C3" s="5" t="str">
        <f>IF(OR(B4=2,B5=2),"Input must equal to 1500!",IF(OR(B3&gt;3000/B7,B3&lt;2),LOOKUP(B7,F3:F5,J3:J5),""))</f>
        <v/>
      </c>
      <c r="D3" s="2"/>
      <c r="E3" s="2"/>
      <c r="F3" s="2">
        <v>1</v>
      </c>
      <c r="G3" s="2">
        <v>4096</v>
      </c>
      <c r="H3" s="2">
        <v>3000</v>
      </c>
      <c r="I3" s="2" t="s">
        <v>379</v>
      </c>
      <c r="J3" s="2" t="s">
        <v>380</v>
      </c>
    </row>
    <row r="4" spans="1:10">
      <c r="A4" s="6" t="s">
        <v>238</v>
      </c>
      <c r="B4" s="7">
        <v>1</v>
      </c>
      <c r="C4" s="5" t="str">
        <f>IF(B4=B5,"","The horizontal and vertical skipping coefficients must be equal！")</f>
        <v/>
      </c>
      <c r="D4" s="2"/>
      <c r="E4" s="2"/>
      <c r="F4" s="2">
        <v>2</v>
      </c>
      <c r="G4" s="2">
        <v>2048</v>
      </c>
      <c r="H4" s="2">
        <v>1500</v>
      </c>
      <c r="I4" s="2" t="s">
        <v>303</v>
      </c>
      <c r="J4" s="2" t="s">
        <v>381</v>
      </c>
    </row>
    <row r="5" spans="1:10">
      <c r="A5" s="6" t="s">
        <v>240</v>
      </c>
      <c r="B5" s="7">
        <v>1</v>
      </c>
      <c r="C5" s="5" t="str">
        <f>IF(B4=B5,"","The horizontal and vertical skipping coefficients must be equal！")</f>
        <v/>
      </c>
      <c r="D5" s="2"/>
      <c r="E5" s="2"/>
      <c r="F5" s="2">
        <v>4</v>
      </c>
      <c r="G5" s="2">
        <v>1024</v>
      </c>
      <c r="H5" s="2">
        <v>750</v>
      </c>
      <c r="I5" s="2" t="s">
        <v>305</v>
      </c>
      <c r="J5" s="2" t="s">
        <v>382</v>
      </c>
    </row>
    <row r="6" spans="1:10">
      <c r="A6" s="6" t="s">
        <v>187</v>
      </c>
      <c r="B6" s="7">
        <v>1</v>
      </c>
      <c r="C6" s="5" t="str">
        <f>IF(AND(B6&gt;1,B4&gt;1),"Horizontal Binning and Skipping cannot be set greater than 2 at the same time",IF(AND(B8="Sensor",B6&gt;1),"Only supports BinningHorizontal of 1 when BinningSelect is Sensor mode",""))</f>
        <v/>
      </c>
      <c r="D6" s="2"/>
      <c r="E6" s="2"/>
      <c r="F6" s="2"/>
      <c r="G6" s="2"/>
      <c r="H6" s="2"/>
      <c r="I6" s="20" t="s">
        <v>383</v>
      </c>
      <c r="J6" s="2"/>
    </row>
    <row r="7" spans="1:10">
      <c r="A7" s="6" t="s">
        <v>190</v>
      </c>
      <c r="B7" s="7">
        <v>1</v>
      </c>
      <c r="C7" s="5" t="str">
        <f>IF(AND(B7&gt;1,B5&gt;1),"Veitical Binning and Skipping cannot be set greater than 2 at the same time",IF(AND(B8="Sensor",B7&gt;2),"Only supports BinningVertical of 1 or 2 when BinningSelect is Sensor mode",""))</f>
        <v/>
      </c>
      <c r="D7" s="2"/>
      <c r="E7" s="2"/>
      <c r="F7" s="2"/>
      <c r="G7" s="2">
        <v>4096</v>
      </c>
      <c r="H7" s="2">
        <v>3000</v>
      </c>
      <c r="I7" s="2"/>
      <c r="J7" s="2"/>
    </row>
    <row r="8" spans="1:10">
      <c r="A8" s="6" t="s">
        <v>309</v>
      </c>
      <c r="B8" s="7" t="s">
        <v>310</v>
      </c>
      <c r="C8" s="5" t="str">
        <f>IF(B8="Region0","","Only monochrome cameras support this feature！")</f>
        <v/>
      </c>
      <c r="D8" s="2"/>
      <c r="E8" s="2"/>
      <c r="F8" s="2" t="s">
        <v>311</v>
      </c>
      <c r="G8" s="2" t="s">
        <v>312</v>
      </c>
      <c r="H8" s="2"/>
      <c r="I8" s="2"/>
      <c r="J8" s="2"/>
    </row>
    <row r="9" spans="1:10">
      <c r="A9" s="6" t="s">
        <v>196</v>
      </c>
      <c r="B9" s="7" t="s">
        <v>447</v>
      </c>
      <c r="C9" s="2"/>
      <c r="D9" s="2"/>
      <c r="E9" s="2"/>
      <c r="F9" s="2"/>
      <c r="G9" s="2">
        <f>IF(AND(B8="Sensor",B7=2),1,B7)</f>
        <v>1</v>
      </c>
      <c r="H9" s="2"/>
      <c r="I9" s="2"/>
      <c r="J9" s="2"/>
    </row>
    <row r="10" spans="1:10">
      <c r="A10" s="3" t="s">
        <v>168</v>
      </c>
      <c r="B10" s="7">
        <v>10</v>
      </c>
      <c r="C10" s="5" t="str">
        <f>IF(AND(B9="UltraShort",B10&gt;100),"exposure time of ultrashort should not be more than 100us!",IF(AND(B9="Standard",B10&lt;24),"exposure time of standard should not be less than 24us!",""))</f>
        <v/>
      </c>
      <c r="D10" s="2"/>
      <c r="E10" s="2"/>
      <c r="F10" s="2" t="s">
        <v>198</v>
      </c>
      <c r="G10" s="2" t="s">
        <v>183</v>
      </c>
      <c r="H10" s="2" t="s">
        <v>184</v>
      </c>
      <c r="I10" s="2"/>
      <c r="J10" s="2"/>
    </row>
    <row r="11" spans="1:10">
      <c r="A11" s="3" t="s">
        <v>199</v>
      </c>
      <c r="B11" s="7">
        <v>0</v>
      </c>
      <c r="C11" s="2"/>
      <c r="D11" s="2"/>
      <c r="E11" s="2"/>
      <c r="F11" s="2">
        <v>1</v>
      </c>
      <c r="G11" s="2">
        <v>4096</v>
      </c>
      <c r="H11" s="2">
        <v>3000</v>
      </c>
      <c r="I11" s="2" t="s">
        <v>384</v>
      </c>
      <c r="J11" s="2" t="s">
        <v>385</v>
      </c>
    </row>
    <row r="12" spans="1:10">
      <c r="A12" s="3" t="s">
        <v>200</v>
      </c>
      <c r="B12" s="7">
        <v>8</v>
      </c>
      <c r="C12" s="2"/>
      <c r="D12" s="2"/>
      <c r="E12" s="2"/>
      <c r="F12" s="2">
        <v>2</v>
      </c>
      <c r="G12" s="2">
        <v>2048</v>
      </c>
      <c r="H12" s="2">
        <v>1500</v>
      </c>
      <c r="I12" s="2" t="s">
        <v>386</v>
      </c>
      <c r="J12" s="2" t="s">
        <v>387</v>
      </c>
    </row>
    <row r="13" spans="1:10">
      <c r="A13" s="3" t="s">
        <v>201</v>
      </c>
      <c r="B13" s="7" t="s">
        <v>202</v>
      </c>
      <c r="C13" s="5" t="str">
        <f>IF(AND(B12=F18,B13="Bpp12"),I18,IF(AND(B12=F19,B13&lt;&gt;"Bpp10"),I19,IF(AND(B12=F20,B13&lt;&gt;"Bpp12"),I20,"")))</f>
        <v/>
      </c>
      <c r="D13" s="2"/>
      <c r="E13" s="2"/>
      <c r="F13" s="2"/>
      <c r="G13" s="2"/>
      <c r="H13" s="2"/>
      <c r="I13" s="2"/>
      <c r="J13" s="2"/>
    </row>
    <row r="14" spans="1:10">
      <c r="A14" s="3" t="s">
        <v>170</v>
      </c>
      <c r="B14" s="7">
        <v>400000000</v>
      </c>
      <c r="C14" s="2"/>
      <c r="D14" s="2"/>
      <c r="E14" s="2"/>
      <c r="F14" s="2"/>
      <c r="G14" s="2"/>
      <c r="H14" s="2"/>
      <c r="I14" s="20" t="s">
        <v>383</v>
      </c>
      <c r="J14" s="2"/>
    </row>
    <row r="15" spans="1:10" hidden="1">
      <c r="A15" s="15" t="s">
        <v>171</v>
      </c>
      <c r="B15" s="16">
        <f>IF(B9="Standard",MAX(ROUNDUP((B10-14.26)/B18,0),1),IF(B10&gt;16,ROUNDUP((B10-14.26),0),1))</f>
        <v>1</v>
      </c>
      <c r="C15" s="2"/>
      <c r="D15" s="2"/>
      <c r="E15" s="2"/>
      <c r="F15" s="2"/>
      <c r="G15" s="2">
        <v>4096</v>
      </c>
      <c r="H15" s="2">
        <v>3000</v>
      </c>
      <c r="I15" s="2"/>
      <c r="J15" s="2"/>
    </row>
    <row r="16" spans="1:10" hidden="1">
      <c r="A16" s="15" t="s">
        <v>172</v>
      </c>
      <c r="B16" s="16" t="str">
        <f>IF((B12&lt;=8),"1","2")</f>
        <v>1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15" t="s">
        <v>173</v>
      </c>
      <c r="B17" s="16">
        <f>B2*B3*B16+84</f>
        <v>12288084</v>
      </c>
      <c r="C17" s="2"/>
      <c r="D17" s="2"/>
      <c r="E17" s="2"/>
      <c r="F17" s="2" t="s">
        <v>203</v>
      </c>
      <c r="G17" s="2" t="s">
        <v>204</v>
      </c>
      <c r="H17" s="2"/>
      <c r="I17" s="2"/>
      <c r="J17" s="2"/>
    </row>
    <row r="18" spans="1:10" hidden="1">
      <c r="A18" s="15" t="s">
        <v>174</v>
      </c>
      <c r="B18" s="16">
        <f>ROUNDUP(IF(B12=8,I22/37.5,2*I22/37.5)*1000,10)/1000</f>
        <v>7.7</v>
      </c>
      <c r="C18" s="2"/>
      <c r="D18" s="2"/>
      <c r="E18" s="2"/>
      <c r="F18" s="2">
        <v>8</v>
      </c>
      <c r="G18" s="2" t="s">
        <v>202</v>
      </c>
      <c r="H18" s="2" t="s">
        <v>205</v>
      </c>
      <c r="I18" s="2" t="s">
        <v>388</v>
      </c>
      <c r="J18" s="2"/>
    </row>
    <row r="19" spans="1:10" hidden="1">
      <c r="A19" s="15" t="s">
        <v>175</v>
      </c>
      <c r="B19" s="16">
        <f>IF(B9="Standard",(B3*G9+54)*B18,ROUNDUP((B3*G9+54)*B18,0)+10)</f>
        <v>23526</v>
      </c>
      <c r="C19" s="2"/>
      <c r="D19" s="2"/>
      <c r="E19" s="2"/>
      <c r="F19" s="2">
        <v>10</v>
      </c>
      <c r="G19" s="2" t="s">
        <v>205</v>
      </c>
      <c r="H19" s="2"/>
      <c r="I19" s="2" t="s">
        <v>389</v>
      </c>
      <c r="J19" s="2"/>
    </row>
    <row r="20" spans="1:10">
      <c r="A20" s="3" t="s">
        <v>176</v>
      </c>
      <c r="B20" s="7" t="s">
        <v>177</v>
      </c>
      <c r="C20" s="5"/>
      <c r="D20" s="2"/>
      <c r="E20" s="2"/>
      <c r="F20" s="2">
        <v>12</v>
      </c>
      <c r="G20" s="2" t="s">
        <v>208</v>
      </c>
      <c r="H20" s="2"/>
      <c r="I20" s="2" t="s">
        <v>390</v>
      </c>
      <c r="J20" s="2"/>
    </row>
    <row r="21" spans="1:10">
      <c r="A21" s="3" t="s">
        <v>178</v>
      </c>
      <c r="B21" s="7">
        <v>32.1</v>
      </c>
      <c r="F21" s="2"/>
      <c r="G21" s="2"/>
      <c r="H21" s="2"/>
      <c r="I21" s="21"/>
    </row>
    <row r="22" spans="1:10" hidden="1">
      <c r="A22" s="17" t="s">
        <v>179</v>
      </c>
      <c r="B22" s="18">
        <f>MAX(I23,I24,I25,I26)</f>
        <v>31110</v>
      </c>
      <c r="C22" s="19" t="str">
        <f>IF(OR(B3&gt;3000/B7,AND(B3&lt;&gt;1500,B5=2),B3&lt;2,B2&gt;4096/B6,AND(B2&lt;&gt;2048,B4=2),B2&lt;16),I6,"")</f>
        <v/>
      </c>
      <c r="F22" s="2"/>
      <c r="G22" s="2"/>
      <c r="H22" s="2" t="s">
        <v>210</v>
      </c>
      <c r="I22" s="2">
        <f>IF(B13="Bpp8",IF(B4=2,181.875,288.75),IF(B4=2,195,352.5))</f>
        <v>288.75</v>
      </c>
    </row>
    <row r="23" spans="1:10">
      <c r="A23" s="175" t="s">
        <v>354</v>
      </c>
      <c r="B23" s="176"/>
      <c r="F23" s="2"/>
      <c r="G23" s="2"/>
      <c r="H23" s="2" t="s">
        <v>211</v>
      </c>
      <c r="I23" s="2">
        <f>IF(B9="Standard",ROUNDUP((B15+24)*B18,0)+ROUNDUP(B11/B19,0)*B19,B15+ROUNDUP((B3*G9+54)*B18+10,0)+B11+ROUNDUP(I27,0))</f>
        <v>23544</v>
      </c>
    </row>
    <row r="24" spans="1:10" ht="22.5">
      <c r="A24" s="11" t="s">
        <v>181</v>
      </c>
      <c r="B24" s="12">
        <f>1000000/B22</f>
        <v>32.144005143040822</v>
      </c>
      <c r="H24" t="s">
        <v>212</v>
      </c>
      <c r="I24">
        <f>IF(B9="Standard",ROUNDUP((B3*G9+54)*B18,0),ROUNDUP((B3*G9+54)*B18,0)+10)</f>
        <v>23526</v>
      </c>
    </row>
    <row r="25" spans="1:10">
      <c r="H25" s="2" t="s">
        <v>213</v>
      </c>
      <c r="I25">
        <f>IF(B9="Standard",ROUNDUP(MAX(ROUNDUP(B17*1000000/395000000/B18,0),ROUNDUP(B17*1000000/B14/B18,0))*B18,0),MAX(ROUNDUP(B17*1000000/395000000,0),ROUNDUP(B17*1000000/B14,0)))</f>
        <v>31110</v>
      </c>
    </row>
    <row r="26" spans="1:10">
      <c r="H26" s="2" t="s">
        <v>214</v>
      </c>
      <c r="I26">
        <f>IF(B9="Standard",B18*(IF(B20="off",0,1))*ROUNDUP(1000*1000/(B18*B21),0),(IF(B20="off",0,1))*ROUNDUP(1000*1000/B21,0))</f>
        <v>0</v>
      </c>
    </row>
    <row r="27" spans="1:10">
      <c r="H27" s="2" t="s">
        <v>215</v>
      </c>
      <c r="I27">
        <f>IF(AND(B9="UltraShort",B10&lt;=13),16.11,14.26)</f>
        <v>16.11</v>
      </c>
    </row>
  </sheetData>
  <sheetProtection algorithmName="SHA-512" hashValue="QWRumR8NSpZilY0NF2heFg818xDWiJnQb6IJWpCGP4rtgjPrNKhD6F5xlfgmPHCwqEOrcSaMvxA2wCqkr0jTvw==" saltValue="2kpIJH9RnAopZ7+56Bs8NQ==" spinCount="100000" sheet="1" objects="1" scenarios="1" selectLockedCells="1"/>
  <mergeCells count="2">
    <mergeCell ref="A1:B1"/>
    <mergeCell ref="A23:B23"/>
  </mergeCells>
  <phoneticPr fontId="21" type="noConversion"/>
  <conditionalFormatting sqref="B2">
    <cfRule type="cellIs" dxfId="64" priority="5" operator="notBetween">
      <formula>16</formula>
      <formula>$G$15</formula>
    </cfRule>
    <cfRule type="cellIs" dxfId="63" priority="7" operator="notBetween">
      <formula>16</formula>
      <formula>$G$7</formula>
    </cfRule>
  </conditionalFormatting>
  <conditionalFormatting sqref="B3">
    <cfRule type="cellIs" dxfId="62" priority="4" operator="notBetween">
      <formula>2</formula>
      <formula>$H$7</formula>
    </cfRule>
    <cfRule type="cellIs" dxfId="61" priority="6" operator="notBetween">
      <formula>2</formula>
      <formula>$H$15</formula>
    </cfRule>
  </conditionalFormatting>
  <conditionalFormatting sqref="B6">
    <cfRule type="expression" dxfId="60" priority="1">
      <formula>AND(#REF!&gt;1,B6&gt;1)</formula>
    </cfRule>
  </conditionalFormatting>
  <conditionalFormatting sqref="B7:B8">
    <cfRule type="expression" dxfId="59" priority="2">
      <formula>AND(B7&gt;1,#REF!&gt;1)</formula>
    </cfRule>
  </conditionalFormatting>
  <dataValidations count="14">
    <dataValidation type="list" allowBlank="1" showInputMessage="1" showErrorMessage="1" errorTitle="参数输入错误" error="可输入的值为1,2,4" sqref="B8" xr:uid="{00000000-0002-0000-2400-000000000000}">
      <formula1>"Region0,Sensor"</formula1>
    </dataValidation>
    <dataValidation type="custom" allowBlank="1" showInputMessage="1" showErrorMessage="1" errorTitle="参数输入错误" error="Input range from 16 to 4096,and is an integer multiple of 8" sqref="B2" xr:uid="{00000000-0002-0000-2400-000001000000}">
      <formula1>AND(MOD(B2,8)=0,B2&gt;=16,B2&lt;=4096/B6)</formula1>
    </dataValidation>
    <dataValidation type="custom" allowBlank="1" showInputMessage="1" showErrorMessage="1" errorTitle="参数输入错误" error="Input range from 2 to 3000,and is an integer multiple of 2" sqref="B3" xr:uid="{00000000-0002-0000-2400-000002000000}">
      <formula1>AND(MOD(B3,2)=0,B3&gt;=2,B3&lt;=3000/B7)</formula1>
    </dataValidation>
    <dataValidation type="list" allowBlank="1" showInputMessage="1" showErrorMessage="1" errorTitle="参数输入错误" error="Binning选择Region0模式可输入的值为1,2,4；Binning选择Sensor模式可输入的值为1" sqref="B6" xr:uid="{00000000-0002-0000-2400-000003000000}">
      <formula1>IF($B$8="Region0",$F$3:$F$5,$F$3)</formula1>
    </dataValidation>
    <dataValidation type="list" allowBlank="1" showInputMessage="1" showErrorMessage="1" errorTitle="参数输入错误" error="Input 8 or 10 or 12" sqref="B12" xr:uid="{00000000-0002-0000-2400-000004000000}">
      <formula1>"8,10,12"</formula1>
    </dataValidation>
    <dataValidation type="list" allowBlank="1" showInputMessage="1" showErrorMessage="1" errorTitle="参数输入错误" error="Binning选择Region0模式可输入的值为1,2,4；Binning选择Sensor模式可输入的值为1,2" sqref="B7" xr:uid="{00000000-0002-0000-2400-000005000000}">
      <formula1>IF($B$8="Region0",$F$3:$F$5,$F$3:$F$4)</formula1>
    </dataValidation>
    <dataValidation type="list" allowBlank="1" showInputMessage="1" showErrorMessage="1" errorTitle="参数输入错误" error="Input &quot;Standard&quot; or &quot;UltraShort&quot;" sqref="B9" xr:uid="{00000000-0002-0000-2400-000006000000}">
      <formula1>"Standard,UltraShort"</formula1>
    </dataValidation>
    <dataValidation type="list" allowBlank="1" showInputMessage="1" showErrorMessage="1" errorTitle="参数输入错误" error="Input &quot;on&quot; or &quot;off&quot; only" sqref="B20" xr:uid="{00000000-0002-0000-2400-000007000000}">
      <formula1>"on,off"</formula1>
    </dataValidation>
    <dataValidation type="custom" allowBlank="1" showInputMessage="1" showErrorMessage="1" errorTitle="参数输入错误" error="Standard：_x000a_Exposure time range 24-1000000_x000a_UltraShort：_x000a_Exposure time range 1-100" sqref="B10" xr:uid="{00000000-0002-0000-2400-000008000000}">
      <formula1>OR(AND(B9="UltraShort",B10&gt;=1,B10&lt;=100),AND(B9="Standard",B10&gt;=24,B10&lt;=1000000))</formula1>
    </dataValidation>
    <dataValidation type="whole" allowBlank="1" showInputMessage="1" showErrorMessage="1" error="exposure delay time range is 0-5000us" sqref="B11" xr:uid="{00000000-0002-0000-2400-000009000000}">
      <formula1>0</formula1>
      <formula2>5000</formula2>
    </dataValidation>
    <dataValidation type="list" allowBlank="1" showInputMessage="1" showErrorMessage="1" errorTitle="参数输入错误" error="please input Bpp8 or Bpp10 or Bpp12" sqref="B13" xr:uid="{00000000-0002-0000-2400-00000A000000}">
      <formula1>"Bpp8,Bpp10,Bpp12"</formula1>
    </dataValidation>
    <dataValidation type="custom" allowBlank="1" showInputMessage="1" showErrorMessage="1" errorTitle="参数输入错误" error="8bit mode range from 35000000 to 400000000,step 1000000;_x000a_10bit or 12bit mode range from 70000000 to 400000000,step 1000000" sqref="B14" xr:uid="{00000000-0002-0000-2400-00000B000000}">
      <formula1>OR(AND(B12=8,B14&gt;=35000000,B14&lt;=400000000,MOD(B14,1000000)=0),AND(OR(B12=10,B12=12),B14&gt;=70000000,B14&lt;=400000000,MOD(B14,1000000)=0))</formula1>
    </dataValidation>
    <dataValidation type="custom" allowBlank="1" showInputMessage="1" showErrorMessage="1" errorTitle="参数输入错误" error="Input range from 0.1 to 10000,step 0.1" sqref="B21" xr:uid="{00000000-0002-0000-2400-00000C000000}">
      <formula1>AND(MOD(10*B21,1)=0,B21&gt;=0.1,B21&lt;=10000)</formula1>
    </dataValidation>
    <dataValidation type="list" allowBlank="1" showInputMessage="1" showErrorMessage="1" errorTitle="参数输入错误" error="Input 1 or 2" sqref="B4:B5" xr:uid="{00000000-0002-0000-2400-00000D000000}">
      <formula1>"1,2"</formula1>
    </dataValidation>
  </dataValidations>
  <pageMargins left="0.7" right="0.7" top="0.75" bottom="0.75" header="0.3" footer="0.3"/>
  <pageSetup paperSize="9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J45"/>
  <sheetViews>
    <sheetView workbookViewId="0">
      <selection activeCell="B20" sqref="B20"/>
    </sheetView>
  </sheetViews>
  <sheetFormatPr defaultColWidth="9" defaultRowHeight="15"/>
  <cols>
    <col min="1" max="1" width="40.5703125" customWidth="1"/>
    <col min="2" max="2" width="16.7109375" customWidth="1"/>
    <col min="3" max="3" width="67.85546875" customWidth="1"/>
    <col min="5" max="5" width="9" customWidth="1"/>
    <col min="6" max="6" width="13.5703125" hidden="1" customWidth="1"/>
    <col min="7" max="8" width="15.140625" hidden="1" customWidth="1"/>
    <col min="9" max="9" width="59.140625" hidden="1" customWidth="1"/>
    <col min="10" max="10" width="61.28515625" hidden="1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4096</v>
      </c>
      <c r="C2" s="5" t="str">
        <f>IF(OR(B2&gt;G7,B2&lt;I29),LOOKUP(B4,F3:F5,I3:I5),IF(OR(B2&gt;G13,B2&lt;I29),LOOKUP(B6,F10:F11,I10:I11),""))</f>
        <v/>
      </c>
      <c r="D2" s="2"/>
      <c r="E2" s="2"/>
      <c r="F2" s="48" t="s">
        <v>182</v>
      </c>
      <c r="G2" s="49" t="s">
        <v>183</v>
      </c>
      <c r="H2" s="49" t="s">
        <v>184</v>
      </c>
      <c r="I2" s="77"/>
      <c r="J2" s="78"/>
    </row>
    <row r="3" spans="1:10">
      <c r="A3" s="3" t="s">
        <v>167</v>
      </c>
      <c r="B3" s="4">
        <v>3072</v>
      </c>
      <c r="C3" s="5" t="str">
        <f>IF(OR(B3&gt;H7,B3&lt;I30),LOOKUP(B5,F3:F5,J3:J5),IF(OR(B3&gt;H13,B3&lt;I30),LOOKUP(B7,F10:F11,J10:J11),""))</f>
        <v/>
      </c>
      <c r="D3" s="2"/>
      <c r="E3" s="2"/>
      <c r="F3" s="50">
        <v>1</v>
      </c>
      <c r="G3" s="51">
        <f>$I$31*INT($I$27/($I$31*F3))</f>
        <v>4096</v>
      </c>
      <c r="H3" s="51">
        <f>$I$32*INT($I$28/($I$32*F3))</f>
        <v>3072</v>
      </c>
      <c r="I3" s="79" t="str">
        <f>CONCATENATE("Input range from ",$I$29," to ",G3,",and is an integer multiple of ",$I$31)</f>
        <v>Input range from 8 to 4096,and is an integer multiple of 4</v>
      </c>
      <c r="J3" s="80" t="str">
        <f>CONCATENATE("Input range from ",$I$30," to ",H3,",and is an integer multiple of ",$I$32)</f>
        <v>Input range from 4 to 3072,and is an integer multiple of 4</v>
      </c>
    </row>
    <row r="4" spans="1:10">
      <c r="A4" s="6" t="s">
        <v>187</v>
      </c>
      <c r="B4" s="7">
        <v>1</v>
      </c>
      <c r="C4" s="5" t="str">
        <f>IF(AND(B4&gt;1,B6&gt;1),"The binning and skipping levels are not set to be greater than 2 at the same time","")</f>
        <v/>
      </c>
      <c r="D4" s="2"/>
      <c r="E4" s="2"/>
      <c r="F4" s="50">
        <v>2</v>
      </c>
      <c r="G4" s="51">
        <f t="shared" ref="G4:G5" si="0">$I$31*INT($I$27/($I$31*F4))</f>
        <v>2048</v>
      </c>
      <c r="H4" s="51">
        <f t="shared" ref="H4:H5" si="1">$I$32*INT($I$28/($I$32*F4))</f>
        <v>1536</v>
      </c>
      <c r="I4" s="79" t="str">
        <f t="shared" ref="I4:I5" si="2">CONCATENATE("Input range from ",$I$29," to ",G4,",and is an integer multiple of ",$I$31)</f>
        <v>Input range from 8 to 2048,and is an integer multiple of 4</v>
      </c>
      <c r="J4" s="80" t="str">
        <f t="shared" ref="J4:J5" si="3">CONCATENATE("Input range from ",$I$30," to ",H4,",and is an integer multiple of ",$I$32)</f>
        <v>Input range from 4 to 1536,and is an integer multiple of 4</v>
      </c>
    </row>
    <row r="5" spans="1:10">
      <c r="A5" s="6" t="s">
        <v>190</v>
      </c>
      <c r="B5" s="7">
        <v>1</v>
      </c>
      <c r="C5" s="5" t="str">
        <f>IF(AND(B5&gt;1,B7&gt;1),"The binning and skipping levels are not set to be greater than 2 at the same time","")</f>
        <v/>
      </c>
      <c r="D5" s="2"/>
      <c r="E5" s="2"/>
      <c r="F5" s="50">
        <v>4</v>
      </c>
      <c r="G5" s="51">
        <f t="shared" si="0"/>
        <v>1024</v>
      </c>
      <c r="H5" s="51">
        <f t="shared" si="1"/>
        <v>768</v>
      </c>
      <c r="I5" s="79" t="str">
        <f t="shared" si="2"/>
        <v>Input range from 8 to 1024,and is an integer multiple of 4</v>
      </c>
      <c r="J5" s="80" t="str">
        <f t="shared" si="3"/>
        <v>Input range from 4 to 768,and is an integer multiple of 4</v>
      </c>
    </row>
    <row r="6" spans="1:10">
      <c r="A6" s="6" t="s">
        <v>193</v>
      </c>
      <c r="B6" s="7">
        <v>1</v>
      </c>
      <c r="C6" s="5" t="str">
        <f>IF(AND(B4&gt;1,B6&gt;1),"The binning and skipping levels are not set to be greater than 2 at the same time","")</f>
        <v/>
      </c>
      <c r="D6" s="2"/>
      <c r="E6" s="2"/>
      <c r="F6" s="50"/>
      <c r="G6" s="51"/>
      <c r="H6" s="51"/>
      <c r="I6" s="81" t="s">
        <v>194</v>
      </c>
      <c r="J6" s="82"/>
    </row>
    <row r="7" spans="1:10">
      <c r="A7" s="6" t="s">
        <v>195</v>
      </c>
      <c r="B7" s="7">
        <v>1</v>
      </c>
      <c r="C7" s="5" t="str">
        <f>IF(AND(B5&gt;1,B7&gt;1),"The binning and skipping levels are not set to be greater than 2 at the same time","")</f>
        <v/>
      </c>
      <c r="D7" s="2"/>
      <c r="E7" s="2"/>
      <c r="F7" s="52"/>
      <c r="G7" s="53">
        <f>LOOKUP(B4,F3:F5,G3:G5)</f>
        <v>4096</v>
      </c>
      <c r="H7" s="53">
        <f>LOOKUP(B5,F3:F5,H3:H5)</f>
        <v>3072</v>
      </c>
      <c r="I7" s="83"/>
      <c r="J7" s="84"/>
    </row>
    <row r="8" spans="1:10">
      <c r="A8" s="6" t="s">
        <v>196</v>
      </c>
      <c r="B8" s="7" t="s">
        <v>197</v>
      </c>
      <c r="C8" s="2"/>
      <c r="D8" s="2"/>
      <c r="E8" s="2"/>
      <c r="F8" s="54"/>
      <c r="G8" s="54"/>
      <c r="H8" s="54"/>
      <c r="I8" s="2"/>
      <c r="J8" s="2"/>
    </row>
    <row r="9" spans="1:10">
      <c r="A9" s="3" t="s">
        <v>168</v>
      </c>
      <c r="B9" s="7">
        <v>30000</v>
      </c>
      <c r="C9" s="2" t="str">
        <f>IF(AND(B8="UltraShort",B9&gt;J17),"exposure time of ultrashort should not be more than 161us!",IF(AND(B8="Standard",B9&lt;J16),"exposure time of standard should not be less than 162us!",""))</f>
        <v/>
      </c>
      <c r="D9" s="2"/>
      <c r="E9" s="2"/>
      <c r="F9" s="55" t="s">
        <v>198</v>
      </c>
      <c r="G9" s="56" t="s">
        <v>183</v>
      </c>
      <c r="H9" s="56" t="s">
        <v>184</v>
      </c>
      <c r="I9" s="85"/>
      <c r="J9" s="86"/>
    </row>
    <row r="10" spans="1:10">
      <c r="A10" s="3" t="s">
        <v>199</v>
      </c>
      <c r="B10" s="7">
        <v>0</v>
      </c>
      <c r="C10" s="2"/>
      <c r="D10" s="2"/>
      <c r="E10" s="2"/>
      <c r="F10" s="57">
        <v>1</v>
      </c>
      <c r="G10" s="51">
        <f t="shared" ref="G10:G11" si="4">$I$31*INT($I$27/($I$31*F10))</f>
        <v>4096</v>
      </c>
      <c r="H10" s="51">
        <f t="shared" ref="H10:H11" si="5">$I$32*INT($I$28/($I$32*F10))</f>
        <v>3072</v>
      </c>
      <c r="I10" s="79" t="str">
        <f>CONCATENATE("Input range from ",$I$29," to ",G10,",and is an integer multiple of ",$I$31)</f>
        <v>Input range from 8 to 4096,and is an integer multiple of 4</v>
      </c>
      <c r="J10" s="80" t="str">
        <f t="shared" ref="J10:J11" si="6">CONCATENATE("Input range from ",$I$30," to ",H10,",and is an integer multiple of ",$I$32)</f>
        <v>Input range from 4 to 3072,and is an integer multiple of 4</v>
      </c>
    </row>
    <row r="11" spans="1:10">
      <c r="A11" s="3" t="s">
        <v>315</v>
      </c>
      <c r="B11" s="7">
        <v>8</v>
      </c>
      <c r="C11" s="2"/>
      <c r="D11" s="2"/>
      <c r="E11" s="2"/>
      <c r="F11" s="57">
        <v>2</v>
      </c>
      <c r="G11" s="51">
        <f t="shared" si="4"/>
        <v>2048</v>
      </c>
      <c r="H11" s="51">
        <f t="shared" si="5"/>
        <v>1536</v>
      </c>
      <c r="I11" s="79" t="str">
        <f>CONCATENATE("Input range from ",$I$29," to ",G11,",and is an integer multiple of ",$I$31)</f>
        <v>Input range from 8 to 2048,and is an integer multiple of 4</v>
      </c>
      <c r="J11" s="80" t="str">
        <f t="shared" si="6"/>
        <v>Input range from 4 to 1536,and is an integer multiple of 4</v>
      </c>
    </row>
    <row r="12" spans="1:10">
      <c r="A12" s="3" t="s">
        <v>170</v>
      </c>
      <c r="B12" s="7">
        <v>300000000</v>
      </c>
      <c r="C12" s="2"/>
      <c r="D12" s="2"/>
      <c r="E12" s="2"/>
      <c r="F12" s="57"/>
      <c r="G12" s="54"/>
      <c r="H12" s="54"/>
      <c r="I12" s="20" t="s">
        <v>194</v>
      </c>
      <c r="J12" s="87"/>
    </row>
    <row r="13" spans="1:10" hidden="1">
      <c r="A13" s="58"/>
      <c r="B13" s="59"/>
      <c r="C13" s="2"/>
      <c r="D13" s="2"/>
      <c r="E13" s="2"/>
      <c r="F13" s="60"/>
      <c r="G13" s="53">
        <f>LOOKUP(B6,F10:F11,G10:G11)</f>
        <v>4096</v>
      </c>
      <c r="H13" s="53">
        <f>LOOKUP(B7,F10:F11,H10:H11)</f>
        <v>3072</v>
      </c>
      <c r="I13" s="88"/>
      <c r="J13" s="89"/>
    </row>
    <row r="14" spans="1:10" hidden="1">
      <c r="A14" s="58" t="s">
        <v>391</v>
      </c>
      <c r="B14" s="61">
        <f>IF(B8="Standard",MAX(ROUNDUP((B9-I17)/B17,0),1),B9)</f>
        <v>2607</v>
      </c>
      <c r="C14" s="2"/>
      <c r="D14" s="2"/>
      <c r="E14" s="2"/>
      <c r="F14" s="54"/>
      <c r="G14" s="51"/>
      <c r="H14" s="51"/>
      <c r="I14" s="2"/>
      <c r="J14" s="2"/>
    </row>
    <row r="15" spans="1:10" hidden="1">
      <c r="A15" s="58" t="s">
        <v>172</v>
      </c>
      <c r="B15" s="59" t="str">
        <f>IF((B11&lt;=8),"1","2")</f>
        <v>1</v>
      </c>
      <c r="C15" s="2"/>
      <c r="D15" s="2"/>
      <c r="E15" s="2"/>
      <c r="F15" s="55"/>
      <c r="G15" s="49" t="s">
        <v>392</v>
      </c>
      <c r="H15" s="62" t="s">
        <v>271</v>
      </c>
      <c r="I15" s="90" t="s">
        <v>393</v>
      </c>
      <c r="J15" s="72" t="s">
        <v>394</v>
      </c>
    </row>
    <row r="16" spans="1:10" hidden="1">
      <c r="A16" s="58" t="s">
        <v>173</v>
      </c>
      <c r="B16" s="59">
        <f>B2*B3*B15+84</f>
        <v>12582996</v>
      </c>
      <c r="C16" s="2"/>
      <c r="D16" s="2"/>
      <c r="E16" s="2"/>
      <c r="F16" s="57" t="s">
        <v>395</v>
      </c>
      <c r="G16" s="51">
        <f>IF(B8="Standard",I36,I40)</f>
        <v>4</v>
      </c>
      <c r="H16" s="63">
        <f>IF(B8="Standard",I37,I41)</f>
        <v>5.6</v>
      </c>
      <c r="I16" s="63">
        <f>G16*B17+H16</f>
        <v>51.6</v>
      </c>
      <c r="J16" s="73">
        <f>IF(B8="Standard",162,52)</f>
        <v>162</v>
      </c>
    </row>
    <row r="17" spans="1:10" hidden="1">
      <c r="A17" s="58" t="s">
        <v>174</v>
      </c>
      <c r="B17" s="59">
        <f>IF(B11=8,I20/I35/2,2*I20/I35/2)</f>
        <v>11.5</v>
      </c>
      <c r="C17" s="2"/>
      <c r="D17" s="2"/>
      <c r="E17" s="2"/>
      <c r="F17" s="60" t="s">
        <v>396</v>
      </c>
      <c r="G17" s="64">
        <f>IF(B8="Standard",I38,I42)</f>
        <v>2</v>
      </c>
      <c r="H17" s="65">
        <f>IF(B8="Standard",I39,I43)</f>
        <v>5.6</v>
      </c>
      <c r="I17" s="65">
        <f>G17*B17+H17</f>
        <v>28.6</v>
      </c>
      <c r="J17" s="74">
        <f>IF(B8="Standard",1000000,161)</f>
        <v>1000000</v>
      </c>
    </row>
    <row r="18" spans="1:10" hidden="1">
      <c r="A18" s="58" t="s">
        <v>175</v>
      </c>
      <c r="B18" s="59">
        <f>IF(B8="Standard",(B3*B5+I33)*B17,(B3*B5+I33)*B17)</f>
        <v>35581</v>
      </c>
      <c r="C18" s="2"/>
      <c r="D18" s="2"/>
      <c r="E18" s="2"/>
      <c r="F18" s="2"/>
      <c r="G18" s="2"/>
      <c r="H18" s="2"/>
      <c r="I18" s="2"/>
      <c r="J18" s="2"/>
    </row>
    <row r="19" spans="1:10">
      <c r="A19" s="3" t="s">
        <v>176</v>
      </c>
      <c r="B19" s="7" t="s">
        <v>177</v>
      </c>
      <c r="C19" s="5" t="str">
        <f>IF(OR(B2&gt;MIN(G7,G13),B2&lt;I29,B3&gt;MIN(H7,H13),B3&lt;I30),I6,"")</f>
        <v/>
      </c>
      <c r="D19" s="2"/>
      <c r="E19" s="2"/>
      <c r="F19" s="2"/>
      <c r="G19" s="2"/>
      <c r="H19" s="180" t="s">
        <v>397</v>
      </c>
      <c r="I19" s="181"/>
      <c r="J19" s="2"/>
    </row>
    <row r="20" spans="1:10">
      <c r="A20" s="3" t="s">
        <v>178</v>
      </c>
      <c r="B20" s="7">
        <v>28</v>
      </c>
      <c r="F20" s="2"/>
      <c r="G20" s="2"/>
      <c r="H20" s="66" t="s">
        <v>210</v>
      </c>
      <c r="I20" s="87">
        <f>IF(B6=2,384,736)</f>
        <v>736</v>
      </c>
      <c r="J20" s="2"/>
    </row>
    <row r="21" spans="1:10" hidden="1">
      <c r="A21" s="67" t="s">
        <v>179</v>
      </c>
      <c r="B21" s="68">
        <f>MAX(I21,I22,I23,I24)</f>
        <v>41952</v>
      </c>
      <c r="F21" s="2"/>
      <c r="G21" s="2"/>
      <c r="H21" s="66" t="s">
        <v>211</v>
      </c>
      <c r="I21" s="91">
        <f>IF(B8="Standard",ROUNDUP((B14+I34+ROUNDUP((I16+B10)/B17,0))*B17,0),ROUNDUP(B14+ROUNDUP((B3*B5+I33-I44-I45)*B17,0)+B10+I16+I34*B17,0))</f>
        <v>30234</v>
      </c>
    </row>
    <row r="22" spans="1:10">
      <c r="A22" s="155" t="s">
        <v>180</v>
      </c>
      <c r="B22" s="156"/>
      <c r="F22" s="2"/>
      <c r="G22" s="2"/>
      <c r="H22" s="69" t="s">
        <v>212</v>
      </c>
      <c r="I22" s="92">
        <f>IF(B8="Standard",ROUNDUP((B3*B5+I33)*B17,0),ROUNDUP((B3*B5+I33)*B17,0))</f>
        <v>35581</v>
      </c>
    </row>
    <row r="23" spans="1:10" ht="22.5">
      <c r="A23" s="11" t="s">
        <v>181</v>
      </c>
      <c r="B23" s="12">
        <f>1000000/B21</f>
        <v>23.83676582761251</v>
      </c>
      <c r="F23" s="2"/>
      <c r="G23" s="2"/>
      <c r="H23" s="66" t="s">
        <v>213</v>
      </c>
      <c r="I23" s="92">
        <f>IF(B8="Standard",ROUNDUP(MAX(ROUNDUP(B16*1000000/395000000/B17,0),ROUNDUP(B16*1000000/B12/B17,0))*B17,0),MAX(ROUNDUP(B16*1000000/395000000,0),ROUNDUP(B16*1000000/B12,0)))</f>
        <v>41952</v>
      </c>
    </row>
    <row r="24" spans="1:10">
      <c r="H24" s="70" t="s">
        <v>214</v>
      </c>
      <c r="I24" s="93">
        <f>ROUNDUP(IF(B8="Standard",B17*(IF(B19="off",0,1))*ROUNDUP(1000*1000/(B17*B20),0),(IF(B19="off",0,1))*ROUNDUP(1000*1000/B20,0)),0)</f>
        <v>0</v>
      </c>
    </row>
    <row r="26" spans="1:10">
      <c r="H26" s="180" t="s">
        <v>398</v>
      </c>
      <c r="I26" s="181"/>
    </row>
    <row r="27" spans="1:10">
      <c r="H27" s="66" t="s">
        <v>183</v>
      </c>
      <c r="I27" s="92">
        <v>4096</v>
      </c>
    </row>
    <row r="28" spans="1:10">
      <c r="H28" s="71" t="s">
        <v>184</v>
      </c>
      <c r="I28" s="92">
        <v>3072</v>
      </c>
    </row>
    <row r="29" spans="1:10">
      <c r="H29" s="71" t="s">
        <v>399</v>
      </c>
      <c r="I29" s="82">
        <v>8</v>
      </c>
    </row>
    <row r="30" spans="1:10">
      <c r="H30" s="71" t="s">
        <v>400</v>
      </c>
      <c r="I30" s="82">
        <v>4</v>
      </c>
    </row>
    <row r="31" spans="1:10">
      <c r="H31" s="71" t="s">
        <v>401</v>
      </c>
      <c r="I31" s="92">
        <v>4</v>
      </c>
    </row>
    <row r="32" spans="1:10">
      <c r="H32" s="71" t="s">
        <v>402</v>
      </c>
      <c r="I32" s="92">
        <v>4</v>
      </c>
    </row>
    <row r="33" spans="7:9">
      <c r="H33" s="71" t="s">
        <v>403</v>
      </c>
      <c r="I33" s="94">
        <v>22</v>
      </c>
    </row>
    <row r="34" spans="7:9">
      <c r="H34" s="71" t="s">
        <v>404</v>
      </c>
      <c r="I34" s="92">
        <v>17</v>
      </c>
    </row>
    <row r="35" spans="7:9">
      <c r="H35" s="71" t="s">
        <v>405</v>
      </c>
      <c r="I35" s="92">
        <v>32</v>
      </c>
    </row>
    <row r="36" spans="7:9">
      <c r="G36" s="177" t="s">
        <v>197</v>
      </c>
      <c r="H36" s="71" t="s">
        <v>406</v>
      </c>
      <c r="I36" s="92">
        <v>4</v>
      </c>
    </row>
    <row r="37" spans="7:9">
      <c r="G37" s="178"/>
      <c r="H37" s="71" t="s">
        <v>407</v>
      </c>
      <c r="I37" s="92">
        <v>5.6</v>
      </c>
    </row>
    <row r="38" spans="7:9">
      <c r="G38" s="178"/>
      <c r="H38" s="71" t="s">
        <v>408</v>
      </c>
      <c r="I38" s="92">
        <v>2</v>
      </c>
    </row>
    <row r="39" spans="7:9">
      <c r="G39" s="179"/>
      <c r="H39" s="71" t="s">
        <v>409</v>
      </c>
      <c r="I39" s="92">
        <v>5.6</v>
      </c>
    </row>
    <row r="40" spans="7:9">
      <c r="G40" s="177" t="s">
        <v>410</v>
      </c>
      <c r="H40" s="71" t="s">
        <v>406</v>
      </c>
      <c r="I40" s="92">
        <v>4</v>
      </c>
    </row>
    <row r="41" spans="7:9">
      <c r="G41" s="178"/>
      <c r="H41" s="71" t="s">
        <v>407</v>
      </c>
      <c r="I41" s="92">
        <v>22</v>
      </c>
    </row>
    <row r="42" spans="7:9">
      <c r="G42" s="178"/>
      <c r="H42" s="71" t="s">
        <v>408</v>
      </c>
      <c r="I42" s="92">
        <v>2</v>
      </c>
    </row>
    <row r="43" spans="7:9">
      <c r="G43" s="179"/>
      <c r="H43" s="71" t="s">
        <v>409</v>
      </c>
      <c r="I43" s="92">
        <v>5.6</v>
      </c>
    </row>
    <row r="44" spans="7:9">
      <c r="H44" s="75" t="s">
        <v>411</v>
      </c>
      <c r="I44" s="92">
        <v>14</v>
      </c>
    </row>
    <row r="45" spans="7:9">
      <c r="H45" s="76" t="s">
        <v>412</v>
      </c>
      <c r="I45" s="93">
        <v>7</v>
      </c>
    </row>
  </sheetData>
  <sheetProtection sheet="1" objects="1" scenarios="1" selectLockedCells="1"/>
  <mergeCells count="6">
    <mergeCell ref="G40:G43"/>
    <mergeCell ref="A1:B1"/>
    <mergeCell ref="H19:I19"/>
    <mergeCell ref="A22:B22"/>
    <mergeCell ref="H26:I26"/>
    <mergeCell ref="G36:G39"/>
  </mergeCells>
  <phoneticPr fontId="21" type="noConversion"/>
  <conditionalFormatting sqref="B2">
    <cfRule type="cellIs" dxfId="58" priority="6" operator="notBetween">
      <formula>$I$29</formula>
      <formula>MIN($G$7,$G$13)</formula>
    </cfRule>
  </conditionalFormatting>
  <conditionalFormatting sqref="B3">
    <cfRule type="cellIs" dxfId="57" priority="7" operator="notBetween">
      <formula>$I$30</formula>
      <formula>MIN($H$7,$H$13)</formula>
    </cfRule>
  </conditionalFormatting>
  <conditionalFormatting sqref="B4:B5">
    <cfRule type="expression" dxfId="56" priority="1">
      <formula>AND(B6&gt;1,B4&gt;1)</formula>
    </cfRule>
  </conditionalFormatting>
  <conditionalFormatting sqref="B6:B7">
    <cfRule type="expression" dxfId="55" priority="3">
      <formula>AND(B4&gt;1,B6&gt;1)</formula>
    </cfRule>
  </conditionalFormatting>
  <conditionalFormatting sqref="B9">
    <cfRule type="cellIs" dxfId="54" priority="2" operator="notBetween">
      <formula>$J$16</formula>
      <formula>$J$17</formula>
    </cfRule>
  </conditionalFormatting>
  <dataValidations count="11">
    <dataValidation type="list" allowBlank="1" showInputMessage="1" showErrorMessage="1" errorTitle="参数输入错误" error="Input on or off" sqref="B19" xr:uid="{00000000-0002-0000-2500-000000000000}">
      <formula1>"on,off"</formula1>
    </dataValidation>
    <dataValidation type="list" allowBlank="1" showInputMessage="1" showErrorMessage="1" errorTitle="参数输入错误" error="Input 8 or 12" sqref="B11" xr:uid="{00000000-0002-0000-2500-000001000000}">
      <formula1>"8,12"</formula1>
    </dataValidation>
    <dataValidation type="custom" allowBlank="1" showInputMessage="1" showErrorMessage="1" errorTitle="参数输入错误" error="Input parameter error,Input range from 8 to 4096,and is an integer multiple of 4" sqref="B2" xr:uid="{00000000-0002-0000-2500-000002000000}">
      <formula1>AND(MOD(B2,I31)=0,B2&gt;=I29,B2&lt;=I27/B4,B2&lt;=I27/B6)</formula1>
    </dataValidation>
    <dataValidation type="custom" allowBlank="1" showInputMessage="1" showErrorMessage="1" errorTitle="参数输入错误" error="8bit mode range from 35000000 to 400000000,step 1000000;_x000a_10/12bit mode range from 70000000 to 400000000,step 1000000" sqref="B12" xr:uid="{00000000-0002-0000-2500-000003000000}">
      <formula1>OR(AND(B11=8,B12&gt;=35000000,B12&lt;=400000000,MOD(B12,1000000)=0),AND(B11=12,B12&gt;=70000000,B12&lt;=400000000,MOD(B12,1000000)=0))</formula1>
    </dataValidation>
    <dataValidation type="custom" allowBlank="1" showInputMessage="1" showErrorMessage="1" errorTitle="参数输入错误" error="Standard Mode_x000a_Exposure time range is 162-1000000_x000a_UltraShort Mode_x000a_Exposure time range is 52-161" sqref="B9" xr:uid="{00000000-0002-0000-2500-000004000000}">
      <formula1>AND(B9&gt;=J16,B9&lt;=J17)</formula1>
    </dataValidation>
    <dataValidation type="custom" allowBlank="1" showInputMessage="1" showErrorMessage="1" errorTitle="参数输入错误" error="Input parameter error,Input range from 4 to 3072,and is an integer multiple of 4" sqref="B3" xr:uid="{00000000-0002-0000-2500-000005000000}">
      <formula1>AND(MOD(B3,I32)=0,B3&gt;=I30,B3&lt;=I28/B5,B3&lt;=I28/B7)</formula1>
    </dataValidation>
    <dataValidation type="list" allowBlank="1" showInputMessage="1" showErrorMessage="1" errorTitle="参数输入错误" error="Input Standard or UltraShort" sqref="B8" xr:uid="{00000000-0002-0000-2500-000006000000}">
      <formula1>"Standard,UltraShort"</formula1>
    </dataValidation>
    <dataValidation type="whole" allowBlank="1" showInputMessage="1" showErrorMessage="1" error="exposure delay time range from 0 to 5000us" sqref="B10" xr:uid="{00000000-0002-0000-2500-000007000000}">
      <formula1>0</formula1>
      <formula2>5000</formula2>
    </dataValidation>
    <dataValidation type="custom" allowBlank="1" showInputMessage="1" showErrorMessage="1" errorTitle="参数输入错误" error="Input range from 0.1 to 10000,step 0.1" sqref="B20" xr:uid="{00000000-0002-0000-2500-000008000000}">
      <formula1>AND(MOD(10*B20,1)=0,B20&gt;=0.1,B20&lt;=10000)</formula1>
    </dataValidation>
    <dataValidation type="list" allowBlank="1" showInputMessage="1" showErrorMessage="1" errorTitle="参数输入错误" error="Input range is 1,2,4" sqref="B4:B5" xr:uid="{00000000-0002-0000-2500-000009000000}">
      <formula1>"1,2,4"</formula1>
    </dataValidation>
    <dataValidation type="list" allowBlank="1" showInputMessage="1" showErrorMessage="1" errorTitle="参数输入错误" error="Input range is 1,2" sqref="B6:B7" xr:uid="{00000000-0002-0000-2500-00000A000000}">
      <formula1>"1,2"</formula1>
    </dataValidation>
  </dataValidations>
  <pageMargins left="0.7" right="0.7" top="0.75" bottom="0.75" header="0.3" footer="0.3"/>
  <legacy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J44"/>
  <sheetViews>
    <sheetView workbookViewId="0">
      <selection activeCell="C49" sqref="C49"/>
    </sheetView>
  </sheetViews>
  <sheetFormatPr defaultColWidth="9" defaultRowHeight="15"/>
  <cols>
    <col min="1" max="1" width="36.85546875" customWidth="1"/>
    <col min="2" max="2" width="40.28515625" customWidth="1"/>
    <col min="3" max="3" width="92.5703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2048</v>
      </c>
      <c r="C2" s="5" t="str">
        <f>IF(OR(B2&gt;4096/B4,B2&lt;16),LOOKUP(B4,F3:F5,I3:I5),IF(OR(B2&gt;4096/B6,B2&lt;16),LOOKUP(B6,F12:F14,I12:I14),""))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3400</v>
      </c>
      <c r="C3" s="5" t="str">
        <f>IF(OR(B3&gt;3400/B5,B3&lt;2),LOOKUP(B5,F3:F5,J3:J5),IF(OR(B3&gt;3400/B7,B3&lt;2),LOOKUP(B7,F12:F14,J11:J13),""))</f>
        <v/>
      </c>
      <c r="D3" s="2"/>
      <c r="E3" s="2"/>
      <c r="F3" s="2">
        <v>1</v>
      </c>
      <c r="G3" s="2">
        <f>8*INT(4096/(8*F3))</f>
        <v>4096</v>
      </c>
      <c r="H3" s="2">
        <f>2*INT(3400/(2*F3))</f>
        <v>3400</v>
      </c>
      <c r="I3" s="2" t="str">
        <f>"Input range from 16 to "&amp;G3&amp;",and is an integer multiple of 8"</f>
        <v>Input range from 16 to 4096,and is an integer multiple of 8</v>
      </c>
      <c r="J3" s="2" t="str">
        <f>"Input range from 2 to "&amp;H3&amp;",and is an integer multiple of 2"</f>
        <v>Input range from 2 to 3400,and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8*INT(4096/(8*F4))</f>
        <v>2048</v>
      </c>
      <c r="H4" s="2">
        <f>2*INT(3400/(2*F4))</f>
        <v>1700</v>
      </c>
      <c r="I4" s="2" t="str">
        <f>"Input range from 16 to "&amp;G4&amp;",and is an integer multiple of 8"</f>
        <v>Input range from 16 to 2048,and is an integer multiple of 8</v>
      </c>
      <c r="J4" s="2" t="str">
        <f>"Input range from 2 to "&amp;H4&amp;",and is an integer multiple of 2"</f>
        <v>Input range from 2 to 1700,and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8*INT(4096/(8*F5))</f>
        <v>1024</v>
      </c>
      <c r="H5" s="2">
        <f>2*INT(3400/(2*F5))</f>
        <v>850</v>
      </c>
      <c r="I5" s="2" t="str">
        <f>"Input range from 16 to "&amp;G5&amp;",and is an integer multiple of 8"</f>
        <v>Input range from 16 to 1024,and is an integer multiple of 8</v>
      </c>
      <c r="J5" s="2" t="str">
        <f>"Input range from 2 to "&amp;H5&amp;",and is an integer multiple of 2"</f>
        <v>Input range from 2 to 850,and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4096/B4</f>
        <v>4096</v>
      </c>
      <c r="H7" s="2">
        <f>3400/B5</f>
        <v>3400</v>
      </c>
      <c r="I7" s="2"/>
      <c r="J7" s="2"/>
    </row>
    <row r="8" spans="1:10">
      <c r="A8" s="3" t="s">
        <v>168</v>
      </c>
      <c r="B8" s="7">
        <v>40000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315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3400,and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8*INT(4096/(8*F11))</f>
        <v>4096</v>
      </c>
      <c r="H11" s="2">
        <f>2*INT(3400/(2*F11))</f>
        <v>3400</v>
      </c>
      <c r="I11" s="2" t="str">
        <f>"Input range from 16 to "&amp;G11&amp;",and is an integer multiple of 8"</f>
        <v>Input range from 16 to 4096,and is an integer multiple of 8</v>
      </c>
      <c r="J11" s="2" t="str">
        <f>"Input range from 2 to "&amp;H12&amp;",and is an integer multiple of 2"</f>
        <v>Input range from 2 to 1700,and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8*INT(4096/(8*F12))</f>
        <v>2048</v>
      </c>
      <c r="H12" s="2">
        <f>2*INT(3400/(2*F12))</f>
        <v>1700</v>
      </c>
      <c r="I12" s="2" t="str">
        <f>"Input range from 16 to "&amp;G12&amp;",and is an integer multiple of 8"</f>
        <v>Input range from 16 to 2048,and is an integer multiple of 8</v>
      </c>
      <c r="J12" s="2" t="str">
        <f>"Input range from 2 to "&amp;H13&amp;",and is an integer multiple of 2"</f>
        <v>Input range from 2 to 850,and is an integer multiple of 2</v>
      </c>
    </row>
    <row r="13" spans="1:10" ht="14.25" customHeight="1">
      <c r="A13" s="3" t="s">
        <v>178</v>
      </c>
      <c r="B13" s="7">
        <v>27</v>
      </c>
      <c r="C13" s="2"/>
      <c r="D13" s="2"/>
      <c r="E13" s="2"/>
      <c r="F13" s="2">
        <v>4</v>
      </c>
      <c r="G13" s="2">
        <f>8*INT(4096/(8*F13))</f>
        <v>1024</v>
      </c>
      <c r="H13" s="2">
        <f>2*INT(3400/(2*F13))</f>
        <v>850</v>
      </c>
      <c r="I13" s="2" t="str">
        <f>"Input range from 16 to "&amp;G13&amp;",and is an integer multiple of 8"</f>
        <v>Input range from 16 to 1024,and is an integer multiple of 8</v>
      </c>
      <c r="J13" s="2"/>
    </row>
    <row r="14" spans="1:10" ht="18" hidden="1" customHeight="1">
      <c r="A14" s="6" t="s">
        <v>285</v>
      </c>
      <c r="B14" s="7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275</v>
      </c>
      <c r="B15" s="7">
        <v>14</v>
      </c>
      <c r="C15" s="2"/>
      <c r="D15" s="2"/>
      <c r="E15" s="2"/>
      <c r="F15" s="2"/>
      <c r="G15" s="2">
        <f>4096/B6</f>
        <v>4096</v>
      </c>
      <c r="H15" s="2">
        <f>3400/B7</f>
        <v>3400</v>
      </c>
      <c r="I15" s="2"/>
      <c r="J15" s="2"/>
    </row>
    <row r="16" spans="1:10" ht="18" hidden="1" customHeight="1">
      <c r="A16" s="6" t="s">
        <v>286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287</v>
      </c>
      <c r="B17" s="7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288</v>
      </c>
      <c r="B18" s="7">
        <v>0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289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290</v>
      </c>
      <c r="B20" s="7">
        <f>ROUNDUP(6*1000*B14/60,0)+4*ROUNDUP(1000*B14*4/60,0)</f>
        <v>55736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291</v>
      </c>
      <c r="B21" s="7">
        <f>ROUNDUP(4*B14/60*1000,0)</f>
        <v>10134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292</v>
      </c>
      <c r="B22" s="7">
        <f>ROUNDUP((1000*B8-1000*B17/60)/1000,0)</f>
        <v>39999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293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294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295</v>
      </c>
      <c r="B25" s="9">
        <f>ROUNDUP(((B3*B5+B15+B19)*B21+B20)/1000,0)</f>
        <v>34664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296</v>
      </c>
      <c r="B26" s="10">
        <f>ROUNDUP(B8+B9-B17/60+2*B21/1000+B20/1000,0)</f>
        <v>40075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297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298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299</v>
      </c>
      <c r="B29" s="7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300</v>
      </c>
      <c r="B30" s="7">
        <f>B2*B3*IF(B10=8,1,2)</f>
        <v>6963200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301</v>
      </c>
      <c r="B31" s="7">
        <f>52+32+B30</f>
        <v>6963284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302</v>
      </c>
      <c r="B32" s="10">
        <f>ROUNDUP(MAX((B31*1000000/B11),B31*10/B29),0)</f>
        <v>23211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40075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4" t="s">
        <v>180</v>
      </c>
      <c r="B34" s="164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24.953212726138489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 t="str">
        <f>IF(OR(B3&gt;5120/B5,B3&gt;5120/B7,B3&lt;2,B2&gt;5120/B4,B2&gt;5120/B6,B2&lt;16),I6,"")</f>
        <v/>
      </c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hmIZ4TmjwilG0Er8n0zrZjt7er0asjlIy9FAntAeIcOe60p2t+oQyka/7I80jMlpL5WGWMtiNs7LWoeV7p35ng==" saltValue="xrXacgngRqjyHd8Vz0+SvQ==" spinCount="100000" sheet="1" objects="1" scenarios="1"/>
  <mergeCells count="1">
    <mergeCell ref="A34:B34"/>
  </mergeCells>
  <phoneticPr fontId="21" type="noConversion"/>
  <conditionalFormatting sqref="B2">
    <cfRule type="cellIs" dxfId="53" priority="5" operator="notBetween">
      <formula>16</formula>
      <formula>$G$7</formula>
    </cfRule>
    <cfRule type="cellIs" dxfId="52" priority="6" operator="notBetween">
      <formula>16</formula>
      <formula>$G$15</formula>
    </cfRule>
  </conditionalFormatting>
  <conditionalFormatting sqref="B3">
    <cfRule type="cellIs" dxfId="51" priority="7" operator="notBetween">
      <formula>2</formula>
      <formula>$H$7</formula>
    </cfRule>
    <cfRule type="cellIs" dxfId="50" priority="8" operator="notBetween">
      <formula>2</formula>
      <formula>$H$15</formula>
    </cfRule>
  </conditionalFormatting>
  <conditionalFormatting sqref="B4">
    <cfRule type="expression" dxfId="49" priority="4">
      <formula>AND(B6&gt;1,B4&gt;1)</formula>
    </cfRule>
  </conditionalFormatting>
  <conditionalFormatting sqref="B5">
    <cfRule type="expression" dxfId="48" priority="2">
      <formula>AND(B5&gt;1,B7&gt;1)</formula>
    </cfRule>
  </conditionalFormatting>
  <conditionalFormatting sqref="B6">
    <cfRule type="expression" dxfId="47" priority="3">
      <formula>AND(B6&gt;1,B4&gt;1)</formula>
    </cfRule>
  </conditionalFormatting>
  <conditionalFormatting sqref="B7">
    <cfRule type="expression" dxfId="46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2" sqref="B3" xr:uid="{00000000-0002-0000-2600-000000000000}">
      <formula1>AND(MOD(B3,2)=0,B3&gt;=2,B3&lt;=3400/B5,B3&lt;=3400/B7)</formula1>
    </dataValidation>
    <dataValidation type="custom" allowBlank="1" showInputMessage="1" showErrorMessage="1" errorTitle="Input parameter error" error="Input parameter is out of range or cannot be divided by 8" sqref="B2" xr:uid="{00000000-0002-0000-2600-000001000000}">
      <formula1>AND(MOD(B2,8)=0,B2&gt;=16,B2&lt;=4096/B4,B2&lt;=4096/B6)</formula1>
    </dataValidation>
    <dataValidation type="whole" allowBlank="1" showInputMessage="1" showErrorMessage="1" errorTitle="Input parameter error" error="Input range from 11 to 1000000" sqref="B8" xr:uid="{00000000-0002-0000-2600-000002000000}">
      <formula1>11</formula1>
      <formula2>1000000</formula2>
    </dataValidation>
    <dataValidation type="whole" allowBlank="1" showInputMessage="1" showErrorMessage="1" errorTitle="Input parameter error" error="Input range from 0 to 5000" sqref="B9" xr:uid="{00000000-0002-0000-2600-000003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600-000004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2600-000005000000}">
      <formula1>"on,off"</formula1>
    </dataValidation>
    <dataValidation type="list" allowBlank="1" showInputMessage="1" showErrorMessage="1" errorTitle="Input parameter error" error="Input 8 or 12" sqref="B10" xr:uid="{00000000-0002-0000-2600-000006000000}">
      <formula1>"8,12"</formula1>
    </dataValidation>
    <dataValidation type="custom" allowBlank="1" showInputMessage="1" showErrorMessage="1" errorTitle="参数输入错误" error="输入范围为0.1-10000，步进值为0.1" sqref="B13" xr:uid="{00000000-0002-0000-2600-000007000000}">
      <formula1>AND(MOD(10*B13,1)=0,B13&gt;=0.1,B13&lt;=10000)</formula1>
    </dataValidation>
    <dataValidation type="list" allowBlank="1" showInputMessage="1" showErrorMessage="1" errorTitle="Input parameter error" error="Input range is 1,2,4" sqref="B4:B7" xr:uid="{00000000-0002-0000-2600-000008000000}">
      <formula1>"1,2,4"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8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5" max="5" width="20" customWidth="1"/>
    <col min="6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2" width="9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720</v>
      </c>
      <c r="C2" s="5" t="str">
        <f>IF(OR(B2&gt;720/B4,B2&lt;8),LOOKUP(B4,F3:F5,I3:I5),IF(OR(B2&gt;720/B6,B2&lt;8),LOOKUP(B6,F10:F12,I10:I12),""))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540</v>
      </c>
      <c r="C3" s="5" t="str">
        <f>IF(OR(B3&gt;720/B5,B3&lt;2),LOOKUP(B5,F3:F5,J3:J5),IF(OR(B3&gt;720/B7,B3&lt;2),LOOKUP(B7,F10:F12,J10:J12),""))</f>
        <v/>
      </c>
      <c r="D3" s="2"/>
      <c r="E3" s="2"/>
      <c r="F3" s="2">
        <v>1</v>
      </c>
      <c r="G3" s="2">
        <v>720</v>
      </c>
      <c r="H3" s="2">
        <v>540</v>
      </c>
      <c r="I3" s="2" t="s">
        <v>185</v>
      </c>
      <c r="J3" s="2" t="s">
        <v>186</v>
      </c>
    </row>
    <row r="4" spans="1:10">
      <c r="A4" s="6" t="s">
        <v>187</v>
      </c>
      <c r="B4" s="7">
        <v>1</v>
      </c>
      <c r="C4" s="5"/>
      <c r="D4" s="2"/>
      <c r="E4" s="2"/>
      <c r="F4" s="2">
        <v>2</v>
      </c>
      <c r="G4" s="2">
        <v>360</v>
      </c>
      <c r="H4" s="2">
        <v>270</v>
      </c>
      <c r="I4" s="2" t="s">
        <v>188</v>
      </c>
      <c r="J4" s="2" t="s">
        <v>189</v>
      </c>
    </row>
    <row r="5" spans="1:10">
      <c r="A5" s="6" t="s">
        <v>190</v>
      </c>
      <c r="B5" s="7">
        <v>1</v>
      </c>
      <c r="C5" s="5"/>
      <c r="D5" s="2"/>
      <c r="E5" s="2"/>
      <c r="F5" s="2">
        <v>4</v>
      </c>
      <c r="G5" s="2">
        <v>176</v>
      </c>
      <c r="H5" s="2">
        <v>134</v>
      </c>
      <c r="I5" s="2" t="s">
        <v>191</v>
      </c>
      <c r="J5" s="2" t="s">
        <v>192</v>
      </c>
    </row>
    <row r="6" spans="1:10">
      <c r="A6" s="6" t="s">
        <v>193</v>
      </c>
      <c r="B6" s="7">
        <v>1</v>
      </c>
      <c r="C6" s="5" t="str">
        <f>IF(AND(B6&gt;1,B4&gt;1),"The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IF(AND(B7&gt;1,B5&gt;1),"The vertical binning and skipping are not set to be greater than 2 at the same time","")</f>
        <v/>
      </c>
      <c r="D7" s="2"/>
      <c r="E7" s="2"/>
      <c r="F7" s="2"/>
      <c r="G7" s="2">
        <v>720</v>
      </c>
      <c r="H7" s="2">
        <v>540</v>
      </c>
      <c r="I7" s="2"/>
      <c r="J7" s="2"/>
    </row>
    <row r="8" spans="1:10">
      <c r="A8" s="6" t="s">
        <v>196</v>
      </c>
      <c r="B8" s="7" t="s">
        <v>197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168</v>
      </c>
      <c r="B9" s="7">
        <v>10000</v>
      </c>
      <c r="C9" s="5" t="str">
        <f>IF(AND(B8="UltraShort",B9&gt;100),"exposure time of ultrashort should not be more than 100us!",IF(AND(B8="Standard",B9&lt;20),"exposure time of standard should not be less than 20us!",""))</f>
        <v/>
      </c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199</v>
      </c>
      <c r="B10" s="7">
        <v>0</v>
      </c>
      <c r="C10" s="2"/>
      <c r="D10" s="2"/>
      <c r="E10" s="2"/>
      <c r="F10" s="2">
        <v>1</v>
      </c>
      <c r="G10" s="2">
        <v>720</v>
      </c>
      <c r="H10" s="2">
        <v>540</v>
      </c>
      <c r="I10" s="2" t="s">
        <v>185</v>
      </c>
      <c r="J10" s="2" t="s">
        <v>186</v>
      </c>
    </row>
    <row r="11" spans="1:10">
      <c r="A11" s="3" t="s">
        <v>200</v>
      </c>
      <c r="B11" s="7">
        <v>8</v>
      </c>
      <c r="C11" s="2"/>
      <c r="D11" s="2"/>
      <c r="E11" s="2"/>
      <c r="F11" s="2">
        <v>2</v>
      </c>
      <c r="G11" s="2">
        <v>360</v>
      </c>
      <c r="H11" s="2">
        <v>270</v>
      </c>
      <c r="I11" s="2" t="s">
        <v>188</v>
      </c>
      <c r="J11" s="2" t="s">
        <v>189</v>
      </c>
    </row>
    <row r="12" spans="1:10">
      <c r="A12" s="3" t="s">
        <v>201</v>
      </c>
      <c r="B12" s="7" t="s">
        <v>202</v>
      </c>
      <c r="C12" s="5" t="str">
        <f>IF(AND(B11=F17,B12="Bpp12"),I17,IF(AND(B11=F18,B12&lt;&gt;"Bpp10"),I18,IF(AND(B11=F19,B12&lt;&gt;"Bpp12"),I19,"")))</f>
        <v/>
      </c>
      <c r="D12" s="2"/>
      <c r="E12" s="2"/>
      <c r="F12" s="2">
        <v>4</v>
      </c>
      <c r="G12" s="2">
        <v>176</v>
      </c>
      <c r="H12" s="2">
        <v>134</v>
      </c>
      <c r="I12" s="2" t="s">
        <v>191</v>
      </c>
      <c r="J12" s="2" t="s">
        <v>192</v>
      </c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/>
      <c r="H13" s="2"/>
      <c r="I13" s="2" t="s">
        <v>194</v>
      </c>
      <c r="J13" s="2"/>
    </row>
    <row r="14" spans="1:10" hidden="1">
      <c r="A14" s="3"/>
      <c r="B14" s="7"/>
      <c r="C14" s="2"/>
      <c r="D14" s="2"/>
      <c r="E14" s="2"/>
      <c r="F14" s="2"/>
      <c r="G14" s="2">
        <v>720</v>
      </c>
      <c r="H14" s="2">
        <v>540</v>
      </c>
      <c r="I14" s="2"/>
      <c r="J14" s="2"/>
    </row>
    <row r="15" spans="1:10" hidden="1">
      <c r="A15" s="3" t="s">
        <v>171</v>
      </c>
      <c r="B15" s="7">
        <f>IF(B8="Standard",MAX(ROUNDUP((B9-I28)/B18,0),1),IF(B9&gt;14,ROUNDUP((B9-I28),0),1))</f>
        <v>3535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172</v>
      </c>
      <c r="B16" s="7" t="str">
        <f>IF((B11&lt;=8),"1","2")</f>
        <v>1</v>
      </c>
      <c r="C16" s="2"/>
      <c r="D16" s="2"/>
      <c r="E16" s="2"/>
      <c r="F16" s="2" t="s">
        <v>203</v>
      </c>
      <c r="G16" s="2" t="s">
        <v>204</v>
      </c>
      <c r="H16" s="2"/>
      <c r="I16" s="2"/>
      <c r="J16" s="2"/>
    </row>
    <row r="17" spans="1:10" hidden="1">
      <c r="A17" s="3" t="s">
        <v>173</v>
      </c>
      <c r="B17" s="7">
        <f>B2*B3*B16+84</f>
        <v>388884</v>
      </c>
      <c r="C17" s="5"/>
      <c r="D17" s="2"/>
      <c r="E17" s="2"/>
      <c r="F17" s="2">
        <v>8</v>
      </c>
      <c r="G17" s="2" t="s">
        <v>202</v>
      </c>
      <c r="H17" s="2" t="s">
        <v>205</v>
      </c>
      <c r="I17" s="2" t="s">
        <v>206</v>
      </c>
      <c r="J17" s="2"/>
    </row>
    <row r="18" spans="1:10" hidden="1">
      <c r="A18" s="3" t="s">
        <v>174</v>
      </c>
      <c r="B18" s="7">
        <f>ROUNDUP(I22/44*1000,10)/1000</f>
        <v>2.8250000000000002</v>
      </c>
      <c r="D18" s="2"/>
      <c r="E18" s="2"/>
      <c r="F18" s="2">
        <v>10</v>
      </c>
      <c r="G18" s="2" t="s">
        <v>205</v>
      </c>
      <c r="H18" s="2"/>
      <c r="I18" s="2" t="s">
        <v>207</v>
      </c>
      <c r="J18" s="2"/>
    </row>
    <row r="19" spans="1:10" hidden="1">
      <c r="A19" s="3" t="s">
        <v>175</v>
      </c>
      <c r="B19" s="7">
        <f>IF(B8="Standard",(B3*B7+42)*B18,ROUNDUP((B3*B7+42)*B18,0)+10)</f>
        <v>1644.15</v>
      </c>
      <c r="D19" s="2"/>
      <c r="E19" s="2"/>
      <c r="F19" s="2">
        <v>12</v>
      </c>
      <c r="G19" s="2" t="s">
        <v>208</v>
      </c>
      <c r="H19" s="2"/>
      <c r="I19" s="2" t="s">
        <v>209</v>
      </c>
      <c r="J19" s="2"/>
    </row>
    <row r="20" spans="1:10">
      <c r="A20" s="3" t="s">
        <v>176</v>
      </c>
      <c r="B20" s="7" t="s">
        <v>177</v>
      </c>
      <c r="F20" s="2"/>
      <c r="G20" s="2"/>
      <c r="H20" s="2"/>
      <c r="I20" s="2"/>
      <c r="J20" s="2"/>
    </row>
    <row r="21" spans="1:10">
      <c r="A21" s="3" t="s">
        <v>178</v>
      </c>
      <c r="B21" s="7">
        <v>608</v>
      </c>
      <c r="F21" s="2"/>
      <c r="G21" s="2"/>
      <c r="H21" s="2"/>
      <c r="I21" s="2"/>
      <c r="J21" s="2"/>
    </row>
    <row r="22" spans="1:10" hidden="1">
      <c r="A22" s="6" t="s">
        <v>179</v>
      </c>
      <c r="B22" s="95">
        <f>MAX(I24,I25,I26,I27)</f>
        <v>10038</v>
      </c>
      <c r="C22" s="19" t="str">
        <f>IF(OR(B3&gt;1080/B7,B3&lt;2,AND(B3&lt;&gt;540,B5=2),B2&gt;1440/B6,B2&lt;16,AND(B2&lt;&gt;720,B4=2),),I6,"")</f>
        <v/>
      </c>
      <c r="F22" s="2"/>
      <c r="G22" s="2"/>
      <c r="H22" s="2" t="s">
        <v>210</v>
      </c>
      <c r="I22" s="2">
        <f>IF(AND(B11=8,B12="Bpp8"),124.3,IF(B11=12,201.3,154))</f>
        <v>124.3</v>
      </c>
      <c r="J22" s="2"/>
    </row>
    <row r="23" spans="1:10">
      <c r="A23" s="155" t="s">
        <v>180</v>
      </c>
      <c r="B23" s="156"/>
      <c r="F23" s="2"/>
      <c r="G23" s="2"/>
      <c r="H23" s="2"/>
      <c r="I23" s="2"/>
      <c r="J23" s="2"/>
    </row>
    <row r="24" spans="1:10" ht="22.5">
      <c r="A24" s="11" t="s">
        <v>181</v>
      </c>
      <c r="B24" s="12">
        <f>1000000/B22</f>
        <v>99.62143853357243</v>
      </c>
      <c r="F24" s="2"/>
      <c r="G24" s="2"/>
      <c r="H24" s="2" t="s">
        <v>211</v>
      </c>
      <c r="I24" s="2">
        <f>IF(B8="Standard",ROUNDUP((B15+18)*B18,0)+ROUNDUP(B10/B18,0)*B18,B15+ROUNDUP((B3*B7+42)*B18+10,0)+B10+ROUNDUP(I28,0))</f>
        <v>10038</v>
      </c>
      <c r="J24" s="2"/>
    </row>
    <row r="25" spans="1:10">
      <c r="H25" t="s">
        <v>212</v>
      </c>
      <c r="I25" s="2">
        <f>IF(B8="Standard",ROUNDUP((B3*B7+42)*B18,0),ROUNDUP((B3*B7+42)*B18,0)+10)</f>
        <v>1645</v>
      </c>
    </row>
    <row r="26" spans="1:10">
      <c r="H26" s="2" t="s">
        <v>213</v>
      </c>
      <c r="I26">
        <f>IF(B8="Standard",ROUNDUP(ROUNDUP(MAX(B17*1000000/B13/B18,B17*1000000/395000000/B18),0)*B18,0),ROUNDUP(MAX(B17*1000000/B13,B17*1000000/395000000),0))</f>
        <v>1297</v>
      </c>
    </row>
    <row r="27" spans="1:10">
      <c r="H27" s="2" t="s">
        <v>214</v>
      </c>
      <c r="I27">
        <f>IF(B8="Standard",ROUNDUP(B18*(IF(B20="off",0,1))*ROUNDUP(1000*1000/(B18*B21),0),0),(IF(B20="off",0,1))*ROUNDUP(1000*1000/B21,0))</f>
        <v>0</v>
      </c>
    </row>
    <row r="28" spans="1:10">
      <c r="H28" s="2" t="s">
        <v>215</v>
      </c>
      <c r="I28">
        <f>IF(AND(B8="UltraShort",B9&lt;=13),13.31,14.26)</f>
        <v>14.26</v>
      </c>
    </row>
  </sheetData>
  <sheetProtection algorithmName="SHA-512" hashValue="GR//2O8mQT/MA8Q5Iy9RZt2kiSgOSbXN3TAZ2/XoI+0Lr5pXhWCvpegkiaYasbpy4Gyi6UAcFIQhPgG4xO6UZA==" saltValue="miLXK52fgeWSYmtojys3nA==" spinCount="100000" sheet="1" objects="1" scenarios="1"/>
  <mergeCells count="2">
    <mergeCell ref="A1:B1"/>
    <mergeCell ref="A23:B23"/>
  </mergeCells>
  <phoneticPr fontId="21" type="noConversion"/>
  <conditionalFormatting sqref="B2">
    <cfRule type="cellIs" dxfId="242" priority="2" operator="notBetween">
      <formula>8</formula>
      <formula>$G$14</formula>
    </cfRule>
    <cfRule type="cellIs" dxfId="241" priority="4" operator="notBetween">
      <formula>8</formula>
      <formula>$G$7</formula>
    </cfRule>
  </conditionalFormatting>
  <conditionalFormatting sqref="B3">
    <cfRule type="cellIs" dxfId="240" priority="1" operator="notBetween">
      <formula>2</formula>
      <formula>$H$7</formula>
    </cfRule>
    <cfRule type="cellIs" dxfId="239" priority="3" operator="notBetween">
      <formula>2</formula>
      <formula>$H$14</formula>
    </cfRule>
  </conditionalFormatting>
  <conditionalFormatting sqref="B6">
    <cfRule type="expression" dxfId="238" priority="5">
      <formula>AND(#REF!&gt;1,B6&gt;1)</formula>
    </cfRule>
  </conditionalFormatting>
  <conditionalFormatting sqref="B7">
    <cfRule type="expression" dxfId="237" priority="6">
      <formula>AND(B7&gt;1,#REF!&gt;1)</formula>
    </cfRule>
  </conditionalFormatting>
  <dataValidations count="11">
    <dataValidation type="custom" allowBlank="1" showInputMessage="1" showErrorMessage="1" errorTitle="Input parameter error" error="Input parameter error,Input range from 8 to 720,and is an integer multiple of 8" sqref="B2" xr:uid="{00000000-0002-0000-0300-000000000000}">
      <formula1>AND(MOD(B2,8)=0,B2&gt;=8,B2&lt;=720)</formula1>
    </dataValidation>
    <dataValidation type="custom" allowBlank="1" showInputMessage="1" showErrorMessage="1" errorTitle="Input parameter error" error="Input parameter error,Input range from 2 to 540,and is an integer multiple of 2" sqref="B3" xr:uid="{00000000-0002-0000-0300-000001000000}">
      <formula1>AND(MOD(B3,2)=0,B3&gt;=2,B3&lt;=540)</formula1>
    </dataValidation>
    <dataValidation type="list" allowBlank="1" showInputMessage="1" showErrorMessage="1" errorTitle="Input parameter error" error="Input Standard or UltraShort" sqref="B8" xr:uid="{00000000-0002-0000-0300-000002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3" xr:uid="{00000000-0002-0000-0300-000003000000}">
      <formula1>OR(AND(B11=8,B13&gt;=35000000,B13&lt;=400000000,MOD(B13,1000000)=0),AND(OR(B11=10,B11=12),B13&gt;=70000000,B13&lt;=400000000,MOD(B13,1000000)=0))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 xr:uid="{00000000-0002-0000-0300-000004000000}">
      <formula1>OR(AND(B8="UltraShort",B9&gt;=1,B9&lt;=100),AND(B8="Standard",B9&gt;=20,B9&lt;=1000000))</formula1>
    </dataValidation>
    <dataValidation type="whole" allowBlank="1" showInputMessage="1" showErrorMessage="1" error="range is from 0 to 5000us" sqref="B10" xr:uid="{00000000-0002-0000-0300-000005000000}">
      <formula1>0</formula1>
      <formula2>5000</formula2>
    </dataValidation>
    <dataValidation type="list" allowBlank="1" showInputMessage="1" showErrorMessage="1" errorTitle="Input parameter error" error="Input 8 or 10 or 12" sqref="B11" xr:uid="{00000000-0002-0000-0300-000006000000}">
      <formula1>"8,10,12"</formula1>
    </dataValidation>
    <dataValidation type="list" allowBlank="1" showInputMessage="1" showErrorMessage="1" errorTitle="Input parameter error" error="Input Bpp8 or Bpp10 or Bpp12" sqref="B12" xr:uid="{00000000-0002-0000-0300-000007000000}">
      <formula1>"Bpp8,Bpp10,Bpp12"</formula1>
    </dataValidation>
    <dataValidation type="list" allowBlank="1" showInputMessage="1" showErrorMessage="1" errorTitle="Input parameter error" error="Input on or off" sqref="B20" xr:uid="{00000000-0002-0000-0300-000008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0300-000009000000}">
      <formula1>AND(MOD(10*B21,1)=0,B21&gt;=0.1,B21&lt;=10000)</formula1>
    </dataValidation>
    <dataValidation type="list" allowBlank="1" showInputMessage="1" showErrorMessage="1" errorTitle="Input parameter error" error="Input range is 1,2,4" sqref="B4:B7" xr:uid="{00000000-0002-0000-0300-00000A000000}">
      <formula1>"1,2,4"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J28"/>
  <sheetViews>
    <sheetView workbookViewId="0">
      <selection activeCell="B2" sqref="B2"/>
    </sheetView>
  </sheetViews>
  <sheetFormatPr defaultColWidth="9" defaultRowHeight="15"/>
  <cols>
    <col min="1" max="1" width="30.1406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2.42578125" hidden="1" customWidth="1"/>
    <col min="9" max="9" width="41.140625" hidden="1" customWidth="1"/>
    <col min="10" max="10" width="64.5703125" hidden="1" customWidth="1"/>
    <col min="11" max="11" width="24.5703125" customWidth="1"/>
  </cols>
  <sheetData>
    <row r="1" spans="1:10">
      <c r="A1" s="153" t="s">
        <v>165</v>
      </c>
      <c r="B1" s="17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5320</v>
      </c>
      <c r="C2" s="5" t="str">
        <f>IF(OR(B4=2,B5=2),IF(B2=G11,"","Input must equal to "&amp;G11&amp;""),IF(OR(B2&gt;INT(G7/8/B6)*8,B2&lt;16),LOOKUP(B6,F3:F5,I3:I5),""))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3032</v>
      </c>
      <c r="C3" s="5" t="str">
        <f>IF(OR(B4=2,B5=2),IF(B3=H11,"","Input must equal to "&amp;H11&amp;""),IF(OR(B3&gt;INT(H7/8/B7)*8,B3&lt;8),LOOKUP(B7,F3:F5,J3:J5),""))</f>
        <v/>
      </c>
      <c r="D3" s="2"/>
      <c r="E3" s="2"/>
      <c r="F3" s="2">
        <v>1</v>
      </c>
      <c r="G3" s="2">
        <f>G7</f>
        <v>5320</v>
      </c>
      <c r="H3" s="2">
        <f>H7</f>
        <v>3032</v>
      </c>
      <c r="I3" s="2" t="str">
        <f>"Input range from 16 to "&amp;G3&amp;",and is an integer multiple of 8"</f>
        <v>Input range from 16 to 5320,and is an integer multiple of 8</v>
      </c>
      <c r="J3" s="2" t="str">
        <f>"Input range from 8 to "&amp;H3&amp;",and is an integer multiple of 8"</f>
        <v>Input range from 8 to 3032,and is an integer multiple of 8</v>
      </c>
    </row>
    <row r="4" spans="1:10">
      <c r="A4" s="6" t="s">
        <v>238</v>
      </c>
      <c r="B4" s="7">
        <v>1</v>
      </c>
      <c r="C4" s="5" t="str">
        <f>IF(B4=B5,"","The horizontal and vertical skipping coefficients must be equal！")</f>
        <v/>
      </c>
      <c r="D4" s="2"/>
      <c r="E4" s="2"/>
      <c r="F4" s="2">
        <v>2</v>
      </c>
      <c r="G4" s="2">
        <f>INT(G7/8/F4)*8</f>
        <v>2656</v>
      </c>
      <c r="H4" s="2">
        <f>INT(H7/8/F4)*8</f>
        <v>1512</v>
      </c>
      <c r="I4" s="2" t="str">
        <f>"Input range from 16 to "&amp;G4&amp;",and is an integer multiple of 8"</f>
        <v>Input range from 16 to 2656,and is an integer multiple of 8</v>
      </c>
      <c r="J4" s="2" t="str">
        <f>"Input range from 8 to "&amp;H4&amp;",and is an integer multiple of 8"</f>
        <v>Input range from 8 to 1512,and is an integer multiple of 8</v>
      </c>
    </row>
    <row r="5" spans="1:10">
      <c r="A5" s="6" t="s">
        <v>240</v>
      </c>
      <c r="B5" s="7">
        <v>1</v>
      </c>
      <c r="C5" s="5" t="str">
        <f>IF(B4=B5,"","The horizontal and vertical skipping coefficients must be equal！")</f>
        <v/>
      </c>
      <c r="D5" s="2"/>
      <c r="E5" s="2"/>
      <c r="F5" s="2">
        <v>4</v>
      </c>
      <c r="G5" s="2">
        <f>INT(G7/8/F5)*8</f>
        <v>1328</v>
      </c>
      <c r="H5" s="2">
        <f>INT(H7/8/F5)*8</f>
        <v>752</v>
      </c>
      <c r="I5" s="2" t="str">
        <f>"Input range from 16 to "&amp;G5&amp;",and is an integer multiple of 8"</f>
        <v>Input range from 16 to 1328,and is an integer multiple of 8</v>
      </c>
      <c r="J5" s="2" t="str">
        <f>"Input range from 8 to "&amp;H5&amp;",and is an integer multiple of 8"</f>
        <v>Input range from 8 to 752,and is an integer multiple of 8</v>
      </c>
    </row>
    <row r="6" spans="1:10">
      <c r="A6" s="6" t="s">
        <v>187</v>
      </c>
      <c r="B6" s="7">
        <v>1</v>
      </c>
      <c r="C6" s="5" t="str">
        <f>IF(AND(B6&gt;1,B4&gt;1),"Horizontal Binning and Skipping cannot be set greater than 2 at the same time","")</f>
        <v/>
      </c>
      <c r="D6" s="2"/>
      <c r="E6" s="2"/>
      <c r="F6" s="2"/>
      <c r="G6" s="2"/>
      <c r="H6" s="2"/>
      <c r="I6" s="20" t="s">
        <v>383</v>
      </c>
      <c r="J6" s="2"/>
    </row>
    <row r="7" spans="1:10">
      <c r="A7" s="6" t="s">
        <v>190</v>
      </c>
      <c r="B7" s="7">
        <v>1</v>
      </c>
      <c r="C7" s="5" t="str">
        <f>IF(AND(B7&gt;1,B5&gt;1),"Horizontal Binning and Skipping cannot be set greater than 2 at the same time","")</f>
        <v/>
      </c>
      <c r="D7" s="2"/>
      <c r="E7" s="2"/>
      <c r="F7" s="2"/>
      <c r="G7" s="2">
        <v>5320</v>
      </c>
      <c r="H7" s="2">
        <v>3032</v>
      </c>
      <c r="I7" s="2"/>
      <c r="J7" s="2"/>
    </row>
    <row r="8" spans="1:10">
      <c r="A8" s="14" t="s">
        <v>196</v>
      </c>
      <c r="B8" s="4" t="s">
        <v>197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168</v>
      </c>
      <c r="B9" s="7">
        <v>40000</v>
      </c>
      <c r="C9" s="5" t="str">
        <f>IF(AND(B8="UltraShort",B9&gt;2.4),"Exposure time of Ultrashort exposure mode should not be more than 2.4us！",IF(AND(B8="Standard",B9&lt;3),"Exposure time of Standard exposure mode should not be less than 3us！",""))</f>
        <v/>
      </c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199</v>
      </c>
      <c r="B10" s="7">
        <v>0</v>
      </c>
      <c r="C10" s="5"/>
      <c r="D10" s="2"/>
      <c r="E10" s="2"/>
      <c r="F10" s="2">
        <v>1</v>
      </c>
      <c r="G10" s="2">
        <f>G14</f>
        <v>5320</v>
      </c>
      <c r="H10" s="2">
        <f>H14</f>
        <v>3032</v>
      </c>
      <c r="I10" s="2" t="str">
        <f>"Input range from 16 to "&amp;G10&amp;",and is an integer multiple of 8"</f>
        <v>Input range from 16 to 5320,and is an integer multiple of 8</v>
      </c>
      <c r="J10" s="2" t="str">
        <f>"Input range from 8 to "&amp;H10&amp;",and is an integer multiple of 8"</f>
        <v>Input range from 8 to 3032,and is an integer multiple of 8</v>
      </c>
    </row>
    <row r="11" spans="1:10">
      <c r="A11" s="3" t="s">
        <v>200</v>
      </c>
      <c r="B11" s="7">
        <v>8</v>
      </c>
      <c r="C11" s="2"/>
      <c r="D11" s="2"/>
      <c r="E11" s="2"/>
      <c r="F11" s="2">
        <v>2</v>
      </c>
      <c r="G11" s="2">
        <f>INT(G14/8/F11)*8</f>
        <v>2656</v>
      </c>
      <c r="H11" s="2">
        <f>INT(H14/8/F11)*8</f>
        <v>1512</v>
      </c>
      <c r="I11" s="2" t="str">
        <f>"Input range from 16 to "&amp;G11&amp;",and is an integer multiple of 8"</f>
        <v>Input range from 16 to 2656,and is an integer multiple of 8</v>
      </c>
      <c r="J11" s="2" t="str">
        <f>"Input range from 8 to "&amp;H11&amp;",and is an integer multiple of 8"</f>
        <v>Input range from 8 to 1512,and is an integer multiple of 8</v>
      </c>
    </row>
    <row r="12" spans="1:10">
      <c r="A12" s="3" t="s">
        <v>170</v>
      </c>
      <c r="B12" s="7">
        <v>300000000</v>
      </c>
      <c r="C12" s="2"/>
      <c r="D12" s="2"/>
      <c r="E12" s="2"/>
      <c r="F12" s="2"/>
      <c r="G12" s="2"/>
      <c r="H12" s="2"/>
      <c r="I12" s="2"/>
      <c r="J12" s="2"/>
    </row>
    <row r="13" spans="1:10" hidden="1">
      <c r="A13" s="15" t="s">
        <v>171</v>
      </c>
      <c r="B13" s="16">
        <f>IF(B8="Standard",MAX(ROUNDUP((B9-B14)/B19,0),1),IF(B9&gt;B14,ROUNDUP((B9-B14),0),1))</f>
        <v>4145</v>
      </c>
      <c r="C13" s="2"/>
      <c r="D13" s="2"/>
      <c r="E13" s="2"/>
      <c r="F13" s="2"/>
      <c r="G13" s="2"/>
      <c r="H13" s="2"/>
      <c r="I13" s="20" t="s">
        <v>383</v>
      </c>
      <c r="J13" s="2"/>
    </row>
    <row r="14" spans="1:10" hidden="1">
      <c r="A14" s="15" t="s">
        <v>413</v>
      </c>
      <c r="B14" s="16">
        <v>2.46</v>
      </c>
      <c r="C14" s="2"/>
      <c r="D14" s="2"/>
      <c r="E14" s="2"/>
      <c r="F14" s="2"/>
      <c r="G14" s="2">
        <v>5320</v>
      </c>
      <c r="H14" s="2">
        <v>3032</v>
      </c>
      <c r="I14" s="2"/>
      <c r="J14" s="2"/>
    </row>
    <row r="15" spans="1:10" hidden="1">
      <c r="A15" s="15" t="s">
        <v>414</v>
      </c>
      <c r="B15" s="16">
        <v>26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411</v>
      </c>
      <c r="B16" s="16">
        <v>110</v>
      </c>
      <c r="C16" s="2"/>
      <c r="D16" s="2"/>
      <c r="E16" s="2"/>
      <c r="F16" s="2"/>
      <c r="G16" s="2"/>
      <c r="H16" s="2"/>
      <c r="I16" s="21"/>
      <c r="J16" s="2"/>
    </row>
    <row r="17" spans="1:10" hidden="1">
      <c r="A17" s="15" t="s">
        <v>172</v>
      </c>
      <c r="B17" s="16" t="str">
        <f>IF((B11&lt;=8),"1","2")</f>
        <v>1</v>
      </c>
      <c r="C17" s="2"/>
      <c r="D17" s="2"/>
      <c r="E17" s="2"/>
      <c r="F17" s="2"/>
      <c r="G17" s="2"/>
      <c r="H17" s="2"/>
      <c r="I17" s="21"/>
      <c r="J17" s="2"/>
    </row>
    <row r="18" spans="1:10" hidden="1">
      <c r="A18" s="15" t="s">
        <v>173</v>
      </c>
      <c r="B18" s="16">
        <f>B2*B3*B17+84</f>
        <v>16130324</v>
      </c>
      <c r="C18" s="2"/>
      <c r="D18" s="2"/>
      <c r="E18" s="2"/>
      <c r="F18" s="2"/>
      <c r="G18" s="2"/>
      <c r="H18" s="2" t="s">
        <v>210</v>
      </c>
      <c r="I18" s="2">
        <f>IF(OR(B4=2,B5=2),IF(B11=8,213.75,166.875),IF(B11=8,361.875,326.25))</f>
        <v>361.875</v>
      </c>
      <c r="J18" s="2"/>
    </row>
    <row r="19" spans="1:10" hidden="1">
      <c r="A19" s="15" t="s">
        <v>174</v>
      </c>
      <c r="B19" s="16">
        <f>ROUNDUP(IF(B11=8,I18/37.5,2*I18/37.5)*1000,10)/1000</f>
        <v>9.65</v>
      </c>
      <c r="C19" s="2"/>
      <c r="D19" s="2"/>
      <c r="E19" s="2"/>
      <c r="F19" s="2"/>
      <c r="G19" s="2"/>
      <c r="H19" s="2" t="s">
        <v>211</v>
      </c>
      <c r="I19" s="2">
        <f>IF(B8="Standard",IF(OR(B9&gt;20,B4=2,B5=2),ROUNDUP((B13+B15+ROUNDUP(B10/B19,0))*B19,0),ROUNDUP((B13+2+B3*B7+B16)*B19,0)+ROUNDUP(B10/B19,0)*B19),B13+ROUNDUP((B3*B7+B16)*B19+B10,0)+10+ROUNDUP(B14,0))</f>
        <v>40251</v>
      </c>
      <c r="J19" s="2"/>
    </row>
    <row r="20" spans="1:10" hidden="1">
      <c r="A20" s="15" t="s">
        <v>175</v>
      </c>
      <c r="B20" s="16">
        <f>IF(B8="Standard",(B3*B7+B16)*B19,ROUNDUP((B3*B7+B16)*B19,0)+10)</f>
        <v>30320.300000000003</v>
      </c>
      <c r="C20" s="2"/>
      <c r="H20" t="s">
        <v>212</v>
      </c>
      <c r="I20">
        <f>IF(B8="Standard",ROUNDUP((B3*B7+B16)*B19,0),ROUNDUP((B3*B7+B16)*B19,0)+10)</f>
        <v>30321</v>
      </c>
    </row>
    <row r="21" spans="1:10">
      <c r="A21" s="3" t="s">
        <v>176</v>
      </c>
      <c r="B21" s="7" t="s">
        <v>177</v>
      </c>
      <c r="C21" s="2"/>
      <c r="H21" s="2" t="s">
        <v>213</v>
      </c>
      <c r="I21">
        <f>IF(B8="Standard",ROUNDUP(MAX(ROUNDUP(B18*1000000/395000000/B19,0),ROUNDUP(B18*1000000/B12/B19,0))*B19,0),MAX(ROUNDUP(B18*1000000/395000000,0),ROUNDUP(B18*1000000/B12,0)))</f>
        <v>53770</v>
      </c>
    </row>
    <row r="22" spans="1:10">
      <c r="A22" s="3" t="s">
        <v>178</v>
      </c>
      <c r="B22" s="7">
        <v>24.4</v>
      </c>
      <c r="C22" s="2"/>
      <c r="H22" s="2" t="s">
        <v>214</v>
      </c>
      <c r="I22">
        <f>IF(B8="Standard",B19*(IF(B21="off",0,1))*ROUNDUP(1000*1000/(B19*B22),0),(IF(B21="off",0,1))*ROUNDUP(1000*1000/B22,0))</f>
        <v>0</v>
      </c>
    </row>
    <row r="23" spans="1:10" hidden="1">
      <c r="A23" s="17" t="s">
        <v>179</v>
      </c>
      <c r="B23" s="18">
        <f>MAX(I19,I20,I21,I22)</f>
        <v>53770</v>
      </c>
      <c r="C23" s="5"/>
    </row>
    <row r="24" spans="1:10">
      <c r="A24" s="175" t="s">
        <v>354</v>
      </c>
      <c r="B24" s="176"/>
    </row>
    <row r="25" spans="1:10" ht="22.5">
      <c r="A25" s="11" t="s">
        <v>181</v>
      </c>
      <c r="B25" s="12">
        <f>1000000/B23</f>
        <v>18.597731076808628</v>
      </c>
      <c r="C25" s="19" t="str">
        <f>IF(OR(B3&gt;INT(H7/8/B7)*8,AND(B3&lt;&gt;H11,B5=2),B3&lt;8,B2&gt;INT(G7/8/B6)*8,AND(B2&lt;&gt;G11,B4=2),B2&lt;16),I6,"")</f>
        <v/>
      </c>
    </row>
    <row r="28" spans="1:10">
      <c r="C28" s="19"/>
    </row>
  </sheetData>
  <sheetProtection algorithmName="SHA-512" hashValue="/z9bfuCRQUmx6QwgM+xZHtTK4+VWaBR/FJuixvnzvfLGgwz2PK2zEGkzYKd2GEOiImURFMlBD1NwtcTwhhjgqg==" saltValue="9ZuqcGcr9aIgN3CMjBexDA==" spinCount="100000" sheet="1" objects="1" scenarios="1" selectLockedCells="1"/>
  <mergeCells count="2">
    <mergeCell ref="A1:B1"/>
    <mergeCell ref="A24:B24"/>
  </mergeCells>
  <phoneticPr fontId="21" type="noConversion"/>
  <conditionalFormatting sqref="B2">
    <cfRule type="cellIs" dxfId="45" priority="2" operator="notBetween">
      <formula>16</formula>
      <formula>$G$14</formula>
    </cfRule>
    <cfRule type="cellIs" dxfId="44" priority="4" operator="notBetween">
      <formula>16</formula>
      <formula>$G$7</formula>
    </cfRule>
  </conditionalFormatting>
  <conditionalFormatting sqref="B3">
    <cfRule type="cellIs" dxfId="43" priority="1" operator="notBetween">
      <formula>8</formula>
      <formula>$H$7</formula>
    </cfRule>
    <cfRule type="cellIs" dxfId="42" priority="3" operator="notBetween">
      <formula>8</formula>
      <formula>$H$14</formula>
    </cfRule>
  </conditionalFormatting>
  <conditionalFormatting sqref="B6">
    <cfRule type="expression" dxfId="41" priority="5">
      <formula>AND(#REF!&gt;1,B6&gt;1)</formula>
    </cfRule>
  </conditionalFormatting>
  <conditionalFormatting sqref="B7">
    <cfRule type="expression" dxfId="40" priority="6">
      <formula>AND(B7&gt;1,#REF!&gt;1)</formula>
    </cfRule>
  </conditionalFormatting>
  <dataValidations count="11">
    <dataValidation type="custom" allowBlank="1" showInputMessage="1" showErrorMessage="1" errorTitle="参数输入错误" error="Ultrashort mode Exposure time range:1.0us-2.4us;Standard mode Exposure time range:3us-1000000us" sqref="B9" xr:uid="{00000000-0002-0000-2700-000000000000}">
      <formula1>OR(AND(B8="UltraShort",B9&gt;=1,B9&lt;=2.4),AND(B8="Standard",B9&gt;=3,B9&lt;=1000000))</formula1>
    </dataValidation>
    <dataValidation type="custom" allowBlank="1" showInputMessage="1" showErrorMessage="1" errorTitle="参数输入错误" error="Input range from 16 to 5320,and is an integer multiple of 8" sqref="B2" xr:uid="{00000000-0002-0000-2700-000001000000}">
      <formula1>AND(MOD(B2,8)=0,B2&gt;=16,B2&lt;=INT(G7/8/B6)*8)</formula1>
    </dataValidation>
    <dataValidation type="custom" allowBlank="1" showInputMessage="1" showErrorMessage="1" errorTitle="参数输入错误" error="Input range from 8 to 3032,and is an integer multiple of 8" sqref="B3" xr:uid="{00000000-0002-0000-2700-000002000000}">
      <formula1>AND(MOD(B3,8)=0,B3&gt;=8,B3&lt;=INT(H7/8/B7)*8)</formula1>
    </dataValidation>
    <dataValidation type="list" allowBlank="1" showInputMessage="1" showErrorMessage="1" errorTitle="参数输入错误" error="Input &quot;Standard&quot; or &quot;UltraShort&quot;" sqref="B8" xr:uid="{00000000-0002-0000-2700-000003000000}">
      <formula1>"Standard,UltraShort"</formula1>
    </dataValidation>
    <dataValidation type="whole" allowBlank="1" showInputMessage="1" showErrorMessage="1" errorTitle="参数输入错误" error="Exposure delay time range 0-5000_x000a_" sqref="B10" xr:uid="{00000000-0002-0000-2700-000004000000}">
      <formula1>0</formula1>
      <formula2>5000</formula2>
    </dataValidation>
    <dataValidation type="list" allowBlank="1" showInputMessage="1" showErrorMessage="1" errorTitle="参数输入错误" error="Input 8 or 10 or 12" sqref="B11" xr:uid="{00000000-0002-0000-2700-000005000000}">
      <formula1>"8,10,12"</formula1>
    </dataValidation>
    <dataValidation type="custom" allowBlank="1" showInputMessage="1" showErrorMessage="1" errorTitle="参数输入错误" error="8bit mode range from 35000000 to 400000000,step 1000000;_x000a_10bit or 12bit mode range from 70000000 to 400000000,step 1000000" sqref="B12" xr:uid="{00000000-0002-0000-2700-000006000000}">
      <formula1>OR(AND(B11=8,B12&gt;=35000000,B12&lt;=400000000,MOD(B12,1000000)=0),AND(OR(B11=10,B11=12),B12&gt;=70000000,B12&lt;=400000000,MOD(B12,1000000)=0))</formula1>
    </dataValidation>
    <dataValidation type="list" allowBlank="1" showInputMessage="1" showErrorMessage="1" errorTitle="参数输入错误" error="Input &quot;on&quot; or &quot;off&quot; only" sqref="B21" xr:uid="{00000000-0002-0000-2700-000007000000}">
      <formula1>"on,off"</formula1>
    </dataValidation>
    <dataValidation type="custom" allowBlank="1" showInputMessage="1" showErrorMessage="1" errorTitle="参数输入错误" error="Input range from 0.1 to 10000,step 0.1" sqref="B22" xr:uid="{00000000-0002-0000-2700-000008000000}">
      <formula1>AND(MOD(10*B22,1)=0,B22&gt;=0.1,B22&lt;=10000)</formula1>
    </dataValidation>
    <dataValidation type="list" allowBlank="1" showInputMessage="1" showErrorMessage="1" errorTitle="参数输入错误" error="Input 1 or 2" sqref="B4:B5" xr:uid="{00000000-0002-0000-2700-000009000000}">
      <formula1>"1,2"</formula1>
    </dataValidation>
    <dataValidation type="list" allowBlank="1" showInputMessage="1" showErrorMessage="1" errorTitle="参数输入错误" error="Input 1 or 2 or 4" sqref="B6:B7" xr:uid="{00000000-0002-0000-2700-00000A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J44"/>
  <sheetViews>
    <sheetView workbookViewId="0">
      <selection activeCell="B2" sqref="B2"/>
    </sheetView>
  </sheetViews>
  <sheetFormatPr defaultColWidth="9" defaultRowHeight="15"/>
  <cols>
    <col min="1" max="1" width="36.85546875" customWidth="1"/>
    <col min="2" max="2" width="38.5703125" customWidth="1"/>
    <col min="3" max="3" width="92.5703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4504</v>
      </c>
      <c r="C2" s="5" t="str">
        <f>IF(OR(B2&gt;4504/B4,B2&lt;16),LOOKUP(B4,F3:F5,I3:I5),IF(OR(B2&gt;4504/B6,B2&lt;16),LOOKUP(B6,F12:F14,I12:I14),""))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4096</v>
      </c>
      <c r="C3" s="5" t="str">
        <f>IF(OR(B3&gt;4096/B5,B3&lt;2),LOOKUP(B5,F3:F5,J3:J5),IF(OR(B3&gt;4096/B7,B3&lt;2),LOOKUP(B7,F12:F14,J11:J13),""))</f>
        <v/>
      </c>
      <c r="D3" s="2"/>
      <c r="E3" s="2"/>
      <c r="F3" s="2">
        <v>1</v>
      </c>
      <c r="G3" s="2">
        <f>8*INT(4504/(8*F3))</f>
        <v>4504</v>
      </c>
      <c r="H3" s="2">
        <f>2*INT(4096/(2*F3))</f>
        <v>4096</v>
      </c>
      <c r="I3" s="2" t="str">
        <f>"Input range from 16 to "&amp;G3&amp;",and is an integer multiple of 8"</f>
        <v>Input range from 16 to 4504,and is an integer multiple of 8</v>
      </c>
      <c r="J3" s="2" t="str">
        <f>"Input range from 2 to "&amp;H3&amp;",and is an integer multiple of 2"</f>
        <v>Input range from 2 to 4096,and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8*INT(4504/(8*F4))</f>
        <v>2248</v>
      </c>
      <c r="H4" s="2">
        <f>2*INT(4096/(2*F4))</f>
        <v>2048</v>
      </c>
      <c r="I4" s="2" t="str">
        <f>"Input range from 16 to "&amp;G4&amp;",and is an integer multiple of 8"</f>
        <v>Input range from 16 to 2248,and is an integer multiple of 8</v>
      </c>
      <c r="J4" s="2" t="str">
        <f>"Input range from 2 to "&amp;H4&amp;",and is an integer multiple of 2"</f>
        <v>Input range from 2 to 2048,and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8*INT(4504/(8*F5))</f>
        <v>1120</v>
      </c>
      <c r="H5" s="2">
        <f>2*INT(4096/(2*F5))</f>
        <v>1024</v>
      </c>
      <c r="I5" s="2" t="str">
        <f>"Input range from 16 to "&amp;G5&amp;",and is an integer multiple of 8"</f>
        <v>Input range from 16 to 1120,and is an integer multiple of 8</v>
      </c>
      <c r="J5" s="2" t="str">
        <f>"Input range from 2 to "&amp;H5&amp;",and is an integer multiple of 2"</f>
        <v>Input range from 2 to 1024,and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4504/B4</f>
        <v>4504</v>
      </c>
      <c r="H7" s="2">
        <f>4096/B5</f>
        <v>4096</v>
      </c>
      <c r="I7" s="2"/>
      <c r="J7" s="2"/>
    </row>
    <row r="8" spans="1:10">
      <c r="A8" s="3" t="s">
        <v>168</v>
      </c>
      <c r="B8" s="7">
        <v>40000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315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4096,and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8*INT(4504/(8*F11))</f>
        <v>4504</v>
      </c>
      <c r="H11" s="2">
        <f>2*INT(4096/(2*F11))</f>
        <v>4096</v>
      </c>
      <c r="I11" s="2" t="str">
        <f>"Input range from 16 to "&amp;G11&amp;",and is an integer multiple of 8"</f>
        <v>Input range from 16 to 4504,and is an integer multiple of 8</v>
      </c>
      <c r="J11" s="2" t="str">
        <f>"Input range from 2 to "&amp;H12&amp;",and is an integer multiple of 2"</f>
        <v>Input range from 2 to 2048,and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8*INT(4504/(8*F12))</f>
        <v>2248</v>
      </c>
      <c r="H12" s="2">
        <f>2*INT(4096/(2*F12))</f>
        <v>2048</v>
      </c>
      <c r="I12" s="2" t="str">
        <f>"Input range from 16 to "&amp;G12&amp;",and is an integer multiple of 8"</f>
        <v>Input range from 16 to 2248,and is an integer multiple of 8</v>
      </c>
      <c r="J12" s="2" t="str">
        <f>"Input range from 2 to "&amp;H13&amp;",and is an integer multiple of 2"</f>
        <v>Input range from 2 to 1024,and is an integer multiple of 2</v>
      </c>
    </row>
    <row r="13" spans="1:10" ht="14.25" customHeight="1">
      <c r="A13" s="3" t="s">
        <v>178</v>
      </c>
      <c r="B13" s="7">
        <v>21.4</v>
      </c>
      <c r="C13" s="2"/>
      <c r="D13" s="2"/>
      <c r="E13" s="2"/>
      <c r="F13" s="2">
        <v>4</v>
      </c>
      <c r="G13" s="2">
        <f>8*INT(4504/(8*F13))</f>
        <v>1120</v>
      </c>
      <c r="H13" s="2">
        <f>2*INT(4096/(2*F13))</f>
        <v>1024</v>
      </c>
      <c r="I13" s="2" t="str">
        <f>"Input range from 16 to "&amp;G13&amp;",and is an integer multiple of 8"</f>
        <v>Input range from 16 to 1120,and is an integer multiple of 8</v>
      </c>
      <c r="J13" s="2"/>
    </row>
    <row r="14" spans="1:10" ht="18" hidden="1" customHeight="1">
      <c r="A14" s="6" t="s">
        <v>285</v>
      </c>
      <c r="B14" s="7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275</v>
      </c>
      <c r="B15" s="7">
        <v>14</v>
      </c>
      <c r="C15" s="2"/>
      <c r="D15" s="2"/>
      <c r="E15" s="2"/>
      <c r="F15" s="2"/>
      <c r="G15" s="2">
        <f>4504/B6</f>
        <v>4504</v>
      </c>
      <c r="H15" s="2">
        <f>4096/B7</f>
        <v>4096</v>
      </c>
      <c r="I15" s="2"/>
      <c r="J15" s="2"/>
    </row>
    <row r="16" spans="1:10" ht="18" hidden="1" customHeight="1">
      <c r="A16" s="6" t="s">
        <v>286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287</v>
      </c>
      <c r="B17" s="7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288</v>
      </c>
      <c r="B18" s="7">
        <v>0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289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290</v>
      </c>
      <c r="B20" s="7">
        <f>ROUNDUP(6*1000*B14/60,0)+4*ROUNDUP(1000*B14*4/60,0)</f>
        <v>55736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291</v>
      </c>
      <c r="B21" s="7">
        <f>ROUNDUP(4*B14/60*1000,0)</f>
        <v>10134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292</v>
      </c>
      <c r="B22" s="7">
        <f>ROUNDUP((1000*B8-1000*B17/60)/1000,0)</f>
        <v>39999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293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294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295</v>
      </c>
      <c r="B25" s="9">
        <f>ROUNDUP(((B3*B5+B15+B19)*B21+B20)/1000,0)</f>
        <v>41717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296</v>
      </c>
      <c r="B26" s="10">
        <f>ROUNDUP(B8+B9-B17/60+2*B21/1000+B20/1000,0)</f>
        <v>40075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297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298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299</v>
      </c>
      <c r="B29" s="7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300</v>
      </c>
      <c r="B30" s="7">
        <f>B2*B3*IF(B10=8,1,2)</f>
        <v>18448384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301</v>
      </c>
      <c r="B31" s="7">
        <f>52+32+B30</f>
        <v>18448468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302</v>
      </c>
      <c r="B32" s="10">
        <f>ROUNDUP(MAX((B31*1000000/B11),B31*10/B29),0)</f>
        <v>61495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61495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4" t="s">
        <v>180</v>
      </c>
      <c r="B34" s="164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16.261484673550694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 t="str">
        <f>IF(OR(B3&gt;5120/B5,B3&gt;5120/B7,B3&lt;2,B2&gt;5120/B4,B2&gt;5120/B6,B2&lt;16),I6,"")</f>
        <v/>
      </c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SesZC1sw96jZBfYqj0uK0FPzpAvICNx733Ref7kYn9OCsncxxGWGYgacHpP+CqdUFFnwMUu0Ubn68JW56ZThZQ==" saltValue="8m+myYbDTkd0mySEm9XQ3g==" spinCount="100000" sheet="1" objects="1" scenarios="1" selectLockedCells="1"/>
  <mergeCells count="1">
    <mergeCell ref="A34:B34"/>
  </mergeCells>
  <phoneticPr fontId="21" type="noConversion"/>
  <conditionalFormatting sqref="B2">
    <cfRule type="cellIs" dxfId="39" priority="5" operator="notBetween">
      <formula>16</formula>
      <formula>$G$7</formula>
    </cfRule>
    <cfRule type="cellIs" dxfId="38" priority="6" operator="notBetween">
      <formula>16</formula>
      <formula>$G$15</formula>
    </cfRule>
  </conditionalFormatting>
  <conditionalFormatting sqref="B3">
    <cfRule type="cellIs" dxfId="37" priority="7" operator="notBetween">
      <formula>2</formula>
      <formula>$H$7</formula>
    </cfRule>
    <cfRule type="cellIs" dxfId="36" priority="8" operator="notBetween">
      <formula>2</formula>
      <formula>$H$15</formula>
    </cfRule>
  </conditionalFormatting>
  <conditionalFormatting sqref="B4">
    <cfRule type="expression" dxfId="35" priority="4">
      <formula>AND(B6&gt;1,B4&gt;1)</formula>
    </cfRule>
  </conditionalFormatting>
  <conditionalFormatting sqref="B5">
    <cfRule type="expression" dxfId="34" priority="2">
      <formula>AND(B5&gt;1,B7&gt;1)</formula>
    </cfRule>
  </conditionalFormatting>
  <conditionalFormatting sqref="B6">
    <cfRule type="expression" dxfId="33" priority="3">
      <formula>AND(B6&gt;1,B4&gt;1)</formula>
    </cfRule>
  </conditionalFormatting>
  <conditionalFormatting sqref="B7">
    <cfRule type="expression" dxfId="32" priority="1">
      <formula>AND(B5&gt;1,B7&gt;1)</formula>
    </cfRule>
  </conditionalFormatting>
  <dataValidations count="9">
    <dataValidation type="custom" allowBlank="1" showInputMessage="1" showErrorMessage="1" errorTitle="参数输入错误" error="输入范围为0.1-10000，步进值为0.1" sqref="B13" xr:uid="{00000000-0002-0000-2800-000000000000}">
      <formula1>AND(MOD(10*B13,1)=0,B13&gt;=0.1,B13&lt;=10000)</formula1>
    </dataValidation>
    <dataValidation type="custom" allowBlank="1" showInputMessage="1" showErrorMessage="1" errorTitle="Input parameter error" error="Input parameter is out of range or cannot be divided by 8" sqref="B2" xr:uid="{00000000-0002-0000-2800-000001000000}">
      <formula1>AND(MOD(B2,8)=0,B2&gt;=16,B2&lt;=4504/B4,B2&lt;=4504/B6)</formula1>
    </dataValidation>
    <dataValidation type="whole" allowBlank="1" showInputMessage="1" showErrorMessage="1" errorTitle="Input parameter error" error="Input range from 0 to 5000" sqref="B9" xr:uid="{00000000-0002-0000-2800-000002000000}">
      <formula1>0</formula1>
      <formula2>5000</formula2>
    </dataValidation>
    <dataValidation type="custom" allowBlank="1" showInputMessage="1" showErrorMessage="1" errorTitle="Input parameter error" error="Input parameter is out of range or cannot be divided by 2" sqref="B3" xr:uid="{00000000-0002-0000-2800-000003000000}">
      <formula1>AND(MOD(B3,2)=0,B3&gt;=2,B3&lt;=4096/B5,B3&lt;=4096/B7)</formula1>
    </dataValidation>
    <dataValidation type="whole" allowBlank="1" showInputMessage="1" showErrorMessage="1" errorTitle="Input parameter error" error="Input range from 11 to 1000000" sqref="B8" xr:uid="{00000000-0002-0000-2800-000004000000}">
      <formula1>11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800-000005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2800-000006000000}">
      <formula1>"on,off"</formula1>
    </dataValidation>
    <dataValidation type="list" allowBlank="1" showInputMessage="1" showErrorMessage="1" errorTitle="Input parameter error" error="Input 8 or 12" sqref="B10" xr:uid="{00000000-0002-0000-2800-000007000000}">
      <formula1>"8,12"</formula1>
    </dataValidation>
    <dataValidation type="list" allowBlank="1" showInputMessage="1" showErrorMessage="1" errorTitle="Input parameter error" error="Input range is 1,2,4" sqref="B4:B7" xr:uid="{00000000-0002-0000-2800-000008000000}">
      <formula1>"1,2,4"</formula1>
    </dataValidation>
  </dataValidations>
  <pageMargins left="0.7" right="0.7" top="0.75" bottom="0.75" header="0.3" footer="0.3"/>
  <pageSetup paperSize="9" orientation="portrait" horizontalDpi="1200" verticalDpi="120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R33"/>
  <sheetViews>
    <sheetView workbookViewId="0">
      <selection activeCell="B2" sqref="B2"/>
    </sheetView>
  </sheetViews>
  <sheetFormatPr defaultColWidth="8.85546875" defaultRowHeight="15"/>
  <cols>
    <col min="1" max="1" width="36.85546875" style="22" customWidth="1"/>
    <col min="2" max="2" width="35.7109375" style="22" customWidth="1"/>
    <col min="3" max="3" width="101.85546875" style="22" customWidth="1"/>
    <col min="4" max="5" width="8.85546875" style="22" customWidth="1"/>
    <col min="6" max="6" width="13.5703125" style="22" hidden="1" customWidth="1"/>
    <col min="7" max="8" width="9" style="22" hidden="1" customWidth="1"/>
    <col min="9" max="9" width="73.5703125" style="22" hidden="1" customWidth="1"/>
    <col min="10" max="10" width="64.85546875" style="22" hidden="1" customWidth="1"/>
    <col min="11" max="12" width="8.85546875" style="22" hidden="1" customWidth="1"/>
    <col min="13" max="13" width="21.42578125" style="22" hidden="1" customWidth="1"/>
    <col min="14" max="14" width="23.42578125" style="22" hidden="1" customWidth="1"/>
    <col min="15" max="16" width="8.85546875" style="22" hidden="1" customWidth="1"/>
    <col min="17" max="17" width="19.28515625" style="22" hidden="1" customWidth="1"/>
    <col min="18" max="18" width="8.85546875" style="22" hidden="1" customWidth="1"/>
    <col min="19" max="16384" width="8.85546875" style="22"/>
  </cols>
  <sheetData>
    <row r="1" spans="1:18">
      <c r="A1" s="153" t="s">
        <v>165</v>
      </c>
      <c r="B1" s="154"/>
      <c r="C1" s="23"/>
      <c r="M1" s="171" t="s">
        <v>263</v>
      </c>
      <c r="N1" s="172"/>
      <c r="O1" s="173"/>
    </row>
    <row r="2" spans="1:18">
      <c r="A2" s="24" t="s">
        <v>264</v>
      </c>
      <c r="B2" s="25">
        <v>5496</v>
      </c>
      <c r="C2" s="26" t="str">
        <f>IF(OR(B2&gt;G7/B4,B2&lt;16,MOD(B2,8)&lt;&gt;0),LOOKUP(B4,F3:F5,I3:I5),IF(OR(B2&gt;G7/B6,B2&lt;16,MOD(B2,8)&lt;&gt;0),LOOKUP(B6,F10:F12,I10:I12),""))</f>
        <v/>
      </c>
      <c r="F2" s="2" t="s">
        <v>182</v>
      </c>
      <c r="G2" s="2" t="s">
        <v>183</v>
      </c>
      <c r="H2" s="2" t="s">
        <v>184</v>
      </c>
      <c r="I2" s="2"/>
      <c r="J2" s="2"/>
      <c r="K2"/>
      <c r="M2" s="37" t="s">
        <v>166</v>
      </c>
      <c r="N2" s="37">
        <v>5496</v>
      </c>
      <c r="O2" s="37"/>
      <c r="Q2" s="46" t="s">
        <v>355</v>
      </c>
      <c r="R2" s="47">
        <v>12</v>
      </c>
    </row>
    <row r="3" spans="1:18">
      <c r="A3" s="24" t="s">
        <v>265</v>
      </c>
      <c r="B3" s="25">
        <v>3672</v>
      </c>
      <c r="C3" s="26" t="str">
        <f>IF(OR(B3&gt;H7/B5,B3&lt;2,MOD(B3,2)&lt;&gt;0),LOOKUP(B5,F3:F5,J3:J5),IF(OR(B3&gt;H7/B7,B3&lt;2,MOD(B3,2)&lt;&gt;0),LOOKUP(B7,F10:F12,J10:J12),""))</f>
        <v/>
      </c>
      <c r="F3" s="2">
        <v>1</v>
      </c>
      <c r="G3" s="2">
        <f>8*INT($G$7/(F3*8))</f>
        <v>5496</v>
      </c>
      <c r="H3" s="2">
        <f>2*INT($H$7/(F3*2))</f>
        <v>3672</v>
      </c>
      <c r="I3" s="2" t="s">
        <v>415</v>
      </c>
      <c r="J3" s="2" t="s">
        <v>416</v>
      </c>
      <c r="K3"/>
      <c r="M3" s="37" t="s">
        <v>167</v>
      </c>
      <c r="N3" s="37">
        <f>B3</f>
        <v>3672</v>
      </c>
      <c r="O3" s="37"/>
      <c r="Q3" s="46" t="s">
        <v>372</v>
      </c>
      <c r="R3" s="47">
        <v>1000000</v>
      </c>
    </row>
    <row r="4" spans="1:18">
      <c r="A4" s="6" t="s">
        <v>187</v>
      </c>
      <c r="B4" s="7">
        <v>1</v>
      </c>
      <c r="C4" s="26" t="str">
        <f>IF(AND(B4&gt;1,B6&gt;1),"The binning and skipping levels are not set to be greater than 2 at the same time","")</f>
        <v/>
      </c>
      <c r="F4" s="2">
        <v>2</v>
      </c>
      <c r="G4" s="2">
        <f t="shared" ref="G4:G5" si="0">8*INT($G$7/(F4*8))</f>
        <v>2744</v>
      </c>
      <c r="H4" s="2">
        <f t="shared" ref="H4:H5" si="1">2*INT($H$7/(F4*2))</f>
        <v>1836</v>
      </c>
      <c r="I4" s="2" t="s">
        <v>417</v>
      </c>
      <c r="J4" s="2" t="s">
        <v>418</v>
      </c>
      <c r="K4"/>
      <c r="M4" s="171" t="s">
        <v>266</v>
      </c>
      <c r="N4" s="172"/>
      <c r="O4" s="173"/>
    </row>
    <row r="5" spans="1:18">
      <c r="A5" s="6" t="s">
        <v>190</v>
      </c>
      <c r="B5" s="7">
        <v>1</v>
      </c>
      <c r="C5" s="26" t="str">
        <f>IF(AND(B5&gt;1,B7&gt;1),"The binning and skipping levels are not set to be greater than 2 at the same time","")</f>
        <v/>
      </c>
      <c r="F5" s="2">
        <v>4</v>
      </c>
      <c r="G5" s="2">
        <f t="shared" si="0"/>
        <v>1368</v>
      </c>
      <c r="H5" s="2">
        <f t="shared" si="1"/>
        <v>918</v>
      </c>
      <c r="I5" s="2" t="s">
        <v>419</v>
      </c>
      <c r="J5" s="2" t="s">
        <v>420</v>
      </c>
      <c r="K5"/>
      <c r="M5" s="37" t="s">
        <v>166</v>
      </c>
      <c r="N5" s="37">
        <v>5496</v>
      </c>
      <c r="O5" s="37"/>
    </row>
    <row r="6" spans="1:18">
      <c r="A6" s="6" t="s">
        <v>193</v>
      </c>
      <c r="B6" s="7">
        <v>1</v>
      </c>
      <c r="C6" s="27"/>
      <c r="F6" s="2"/>
      <c r="G6" s="2"/>
      <c r="H6" s="2"/>
      <c r="I6" s="2" t="s">
        <v>194</v>
      </c>
      <c r="J6" s="2"/>
      <c r="K6"/>
      <c r="M6" s="37" t="s">
        <v>167</v>
      </c>
      <c r="N6" s="37">
        <f>IF(B5*B7*N3&gt;=G8,B5*B7*N3,G8)</f>
        <v>3672</v>
      </c>
      <c r="O6" s="37"/>
    </row>
    <row r="7" spans="1:18">
      <c r="A7" s="6" t="s">
        <v>195</v>
      </c>
      <c r="B7" s="7">
        <v>1</v>
      </c>
      <c r="C7" s="27"/>
      <c r="F7" s="2" t="s">
        <v>377</v>
      </c>
      <c r="G7" s="2">
        <v>5496</v>
      </c>
      <c r="H7" s="2">
        <v>3672</v>
      </c>
      <c r="I7" s="2"/>
      <c r="J7" s="2"/>
      <c r="K7"/>
      <c r="M7" s="171"/>
      <c r="N7" s="172"/>
      <c r="O7" s="173"/>
    </row>
    <row r="8" spans="1:18">
      <c r="A8" s="28" t="s">
        <v>168</v>
      </c>
      <c r="B8" s="29">
        <v>50000</v>
      </c>
      <c r="C8" s="23"/>
      <c r="F8" s="2" t="s">
        <v>378</v>
      </c>
      <c r="G8" s="2">
        <v>1840</v>
      </c>
      <c r="H8" s="2"/>
      <c r="I8" s="2"/>
      <c r="J8" s="2"/>
      <c r="K8"/>
      <c r="M8" s="37" t="s">
        <v>268</v>
      </c>
      <c r="N8" s="37">
        <f>IF(B10=8,12500,2*12500)</f>
        <v>12500</v>
      </c>
      <c r="O8" s="37" t="s">
        <v>269</v>
      </c>
    </row>
    <row r="9" spans="1:18">
      <c r="A9" s="3" t="s">
        <v>362</v>
      </c>
      <c r="B9" s="30">
        <v>0</v>
      </c>
      <c r="C9" s="23"/>
      <c r="F9" s="2" t="s">
        <v>198</v>
      </c>
      <c r="G9" s="2" t="s">
        <v>183</v>
      </c>
      <c r="H9" s="2" t="s">
        <v>184</v>
      </c>
      <c r="I9" s="2"/>
      <c r="J9" s="2"/>
      <c r="K9"/>
      <c r="M9" s="37" t="s">
        <v>270</v>
      </c>
      <c r="N9" s="37">
        <v>50</v>
      </c>
      <c r="O9" s="37" t="s">
        <v>271</v>
      </c>
    </row>
    <row r="10" spans="1:18">
      <c r="A10" s="28" t="s">
        <v>169</v>
      </c>
      <c r="B10" s="29">
        <v>8</v>
      </c>
      <c r="C10" s="23"/>
      <c r="F10" s="2">
        <v>1</v>
      </c>
      <c r="G10" s="2">
        <f>8*INT($G$7/(F10*8))</f>
        <v>5496</v>
      </c>
      <c r="H10" s="2">
        <f>2*INT($H$7/(F10*2))</f>
        <v>3672</v>
      </c>
      <c r="I10" s="2" t="s">
        <v>415</v>
      </c>
      <c r="J10" s="2" t="s">
        <v>416</v>
      </c>
      <c r="K10"/>
      <c r="M10" s="37" t="s">
        <v>272</v>
      </c>
      <c r="N10" s="37">
        <v>33</v>
      </c>
      <c r="O10" s="37" t="s">
        <v>268</v>
      </c>
    </row>
    <row r="11" spans="1:18">
      <c r="A11" s="28" t="s">
        <v>170</v>
      </c>
      <c r="B11" s="29">
        <v>300000000</v>
      </c>
      <c r="C11" s="23"/>
      <c r="F11" s="2">
        <v>2</v>
      </c>
      <c r="G11" s="2">
        <f t="shared" ref="G11:G12" si="2">8*INT($G$7/(F11*8))</f>
        <v>2744</v>
      </c>
      <c r="H11" s="2">
        <f t="shared" ref="H11:H12" si="3">2*INT($H$7/(F11*2))</f>
        <v>1836</v>
      </c>
      <c r="I11" s="2" t="s">
        <v>417</v>
      </c>
      <c r="J11" s="2" t="s">
        <v>418</v>
      </c>
      <c r="K11"/>
      <c r="M11" s="37" t="s">
        <v>273</v>
      </c>
      <c r="N11" s="37">
        <v>17</v>
      </c>
      <c r="O11" s="37" t="s">
        <v>268</v>
      </c>
    </row>
    <row r="12" spans="1:18">
      <c r="A12" s="3" t="s">
        <v>363</v>
      </c>
      <c r="B12" s="31" t="s">
        <v>364</v>
      </c>
      <c r="C12" s="23"/>
      <c r="E12" s="32" t="s">
        <v>365</v>
      </c>
      <c r="F12" s="2">
        <v>4</v>
      </c>
      <c r="G12" s="2">
        <f t="shared" si="2"/>
        <v>1368</v>
      </c>
      <c r="H12" s="2">
        <f t="shared" si="3"/>
        <v>918</v>
      </c>
      <c r="I12" s="2" t="s">
        <v>419</v>
      </c>
      <c r="J12" s="2" t="s">
        <v>420</v>
      </c>
      <c r="K12"/>
      <c r="M12" s="38" t="s">
        <v>274</v>
      </c>
      <c r="N12" s="37">
        <v>16</v>
      </c>
      <c r="O12" s="37" t="s">
        <v>268</v>
      </c>
    </row>
    <row r="13" spans="1:18">
      <c r="A13" s="28" t="s">
        <v>267</v>
      </c>
      <c r="B13" s="29" t="s">
        <v>177</v>
      </c>
      <c r="C13" s="23"/>
      <c r="F13" s="2"/>
      <c r="G13" s="2"/>
      <c r="H13" s="2"/>
      <c r="I13" s="2" t="s">
        <v>194</v>
      </c>
      <c r="J13" s="2"/>
      <c r="K13"/>
      <c r="M13" s="37" t="s">
        <v>275</v>
      </c>
      <c r="N13" s="37">
        <v>38</v>
      </c>
      <c r="O13" s="37" t="s">
        <v>268</v>
      </c>
    </row>
    <row r="14" spans="1:18">
      <c r="A14" s="28" t="s">
        <v>176</v>
      </c>
      <c r="B14" s="29" t="s">
        <v>177</v>
      </c>
      <c r="C14" s="23"/>
      <c r="M14" s="37" t="s">
        <v>276</v>
      </c>
      <c r="N14" s="37">
        <f>IF(B12="Rolling",8,18)</f>
        <v>8</v>
      </c>
      <c r="O14" s="37" t="s">
        <v>268</v>
      </c>
    </row>
    <row r="15" spans="1:18">
      <c r="A15" s="28" t="s">
        <v>178</v>
      </c>
      <c r="B15" s="29">
        <v>19.600000000000001</v>
      </c>
      <c r="C15" s="23"/>
      <c r="M15" s="37" t="s">
        <v>277</v>
      </c>
      <c r="N15" s="37">
        <f>IF(B10=8,1,2)*B2*B3+84</f>
        <v>20181396</v>
      </c>
      <c r="O15" s="37" t="s">
        <v>278</v>
      </c>
    </row>
    <row r="16" spans="1:18" hidden="1">
      <c r="A16" s="33" t="s">
        <v>172</v>
      </c>
      <c r="B16" s="34" t="str">
        <f>IF((B10&lt;=8),"1","2")</f>
        <v>1</v>
      </c>
      <c r="C16" s="23"/>
      <c r="M16" s="171"/>
      <c r="N16" s="172"/>
      <c r="O16" s="173"/>
    </row>
    <row r="17" spans="1:15" hidden="1">
      <c r="A17" s="33" t="s">
        <v>173</v>
      </c>
      <c r="B17" s="34">
        <f>N15</f>
        <v>20181396</v>
      </c>
      <c r="C17" s="23"/>
      <c r="M17" s="39" t="s">
        <v>353</v>
      </c>
      <c r="N17" s="40">
        <f>N10+MAX(N6+N13-N10,2+N11+ROUNDUP(1000*N9/N8,0))</f>
        <v>3710</v>
      </c>
      <c r="O17" s="41" t="s">
        <v>268</v>
      </c>
    </row>
    <row r="18" spans="1:15" hidden="1">
      <c r="A18" s="33" t="s">
        <v>174</v>
      </c>
      <c r="B18" s="34">
        <f>N8</f>
        <v>12500</v>
      </c>
      <c r="C18" s="23"/>
      <c r="M18" s="39" t="s">
        <v>296</v>
      </c>
      <c r="N18" s="40">
        <f>ROUNDUP(B8*1000/N8,0)+N14</f>
        <v>4008</v>
      </c>
      <c r="O18" s="41" t="s">
        <v>268</v>
      </c>
    </row>
    <row r="19" spans="1:15" hidden="1">
      <c r="A19" s="33" t="s">
        <v>175</v>
      </c>
      <c r="B19" s="34">
        <f>B20</f>
        <v>67275000</v>
      </c>
      <c r="C19" s="23"/>
      <c r="M19" s="42" t="s">
        <v>367</v>
      </c>
      <c r="N19" s="40">
        <f>N17+N18+ROUNDUP(B9*1000/N8,0)+N12</f>
        <v>7734</v>
      </c>
      <c r="O19" s="41" t="s">
        <v>268</v>
      </c>
    </row>
    <row r="20" spans="1:15" hidden="1">
      <c r="A20" s="33" t="s">
        <v>179</v>
      </c>
      <c r="B20" s="34">
        <f>N22</f>
        <v>67275000</v>
      </c>
      <c r="C20" s="23"/>
      <c r="M20" s="39" t="s">
        <v>298</v>
      </c>
      <c r="N20" s="43">
        <f>ROUNDUP(((1000000000/B15)/N8)*IF(B14="on",1,0),0)</f>
        <v>0</v>
      </c>
      <c r="O20" s="41" t="s">
        <v>268</v>
      </c>
    </row>
    <row r="21" spans="1:15">
      <c r="A21" s="155" t="s">
        <v>180</v>
      </c>
      <c r="B21" s="156"/>
      <c r="C21" s="23"/>
      <c r="M21" s="39" t="s">
        <v>302</v>
      </c>
      <c r="N21" s="43">
        <f>ROUNDUP((MAX((B17*1000000/B11),B17*10/3950)*1000/N8),0)</f>
        <v>5382</v>
      </c>
      <c r="O21" s="41" t="s">
        <v>268</v>
      </c>
    </row>
    <row r="22" spans="1:15" ht="22.5">
      <c r="A22" s="35" t="s">
        <v>181</v>
      </c>
      <c r="B22" s="36">
        <f>1000000000/B20</f>
        <v>14.864362690449648</v>
      </c>
      <c r="C22" s="23" t="str">
        <f>IF(OR(B3&gt;H7/B5,B3&gt;H7/B7,B3&lt;2,B2&gt;G7/B4,B2&gt;G7/B6,B2&lt;16),I6,"")</f>
        <v/>
      </c>
      <c r="M22" s="44" t="s">
        <v>368</v>
      </c>
      <c r="N22" s="45">
        <f>IF(B13="off",MAX(N17,N18,N20,N21),MAX(N19,N20))*N8</f>
        <v>67275000</v>
      </c>
      <c r="O22" s="44" t="s">
        <v>369</v>
      </c>
    </row>
    <row r="29" spans="1:15" hidden="1"/>
    <row r="30" spans="1:15" hidden="1"/>
    <row r="31" spans="1:15" hidden="1"/>
    <row r="32" spans="1:15" hidden="1"/>
    <row r="33" hidden="1"/>
  </sheetData>
  <sheetProtection algorithmName="SHA-512" hashValue="EwjWMXm3QiU0zMb+9/4TlRiOAIJjgrpUXHEUWvXXSNSpYqxwUd2VHr490tiELN2KJocVpLGrQnfbQQgvzWc8kw==" saltValue="cAHrwOPPiAChnyk+E2o01g==" spinCount="100000" sheet="1" objects="1" scenarios="1" selectLockedCells="1"/>
  <mergeCells count="6">
    <mergeCell ref="A21:B21"/>
    <mergeCell ref="A1:B1"/>
    <mergeCell ref="M1:O1"/>
    <mergeCell ref="M4:O4"/>
    <mergeCell ref="M7:O7"/>
    <mergeCell ref="M16:O16"/>
  </mergeCells>
  <phoneticPr fontId="21" type="noConversion"/>
  <conditionalFormatting sqref="B4">
    <cfRule type="expression" dxfId="31" priority="4">
      <formula>AND(B6&gt;1,B4&gt;1)</formula>
    </cfRule>
  </conditionalFormatting>
  <conditionalFormatting sqref="B5">
    <cfRule type="expression" dxfId="30" priority="2">
      <formula>AND(B5&gt;1,B7&gt;1)</formula>
    </cfRule>
  </conditionalFormatting>
  <conditionalFormatting sqref="B6">
    <cfRule type="expression" dxfId="29" priority="3">
      <formula>AND(B6&gt;1,B4&gt;1)</formula>
    </cfRule>
  </conditionalFormatting>
  <conditionalFormatting sqref="B7">
    <cfRule type="expression" dxfId="28" priority="1">
      <formula>AND(B5&gt;1,B7&gt;1)</formula>
    </cfRule>
  </conditionalFormatting>
  <dataValidations count="10">
    <dataValidation type="custom" allowBlank="1" showInputMessage="1" showErrorMessage="1" errorTitle="Input parameter error" error="Input parameter error，please input parameter according to message_x000a_" sqref="B2" xr:uid="{00000000-0002-0000-2900-000000000000}">
      <formula1>AND(MOD(B2,8)=0,B2&gt;=16,B2&lt;=G7/(B4*B6))</formula1>
    </dataValidation>
    <dataValidation type="custom" allowBlank="1" showInputMessage="1" showErrorMessage="1" errorTitle="Input parameter error" error="Input parameter error，please input parameter according to message" sqref="B3" xr:uid="{00000000-0002-0000-2900-000001000000}">
      <formula1>AND(MOD(B3,2)=0,B3&gt;=2,B3&lt;=H7/(B5*B7))</formula1>
    </dataValidation>
    <dataValidation type="whole" allowBlank="1" showInputMessage="1" showErrorMessage="1" errorTitle="Input parameter error" error="Input range is 12-1000000" sqref="B8" xr:uid="{00000000-0002-0000-2900-000002000000}">
      <formula1>R2</formula1>
      <formula2>R3</formula2>
    </dataValidation>
    <dataValidation type="custom" allowBlank="1" showInputMessage="1" showErrorMessage="1" errorTitle="Input parameter error" error="Input renge from 0.1 to 10000,step 0.1" sqref="B15" xr:uid="{00000000-0002-0000-2900-000003000000}">
      <formula1>AND(MOD(10*B15,1)=0,B15&gt;=0.1,B15&lt;=10000)</formula1>
    </dataValidation>
    <dataValidation type="whole" allowBlank="1" showInputMessage="1" showErrorMessage="1" errorTitle="Input parameter error" error="Input range is 0-5000" sqref="B9" xr:uid="{00000000-0002-0000-2900-000004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900-000005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sqref="B12" xr:uid="{00000000-0002-0000-2900-000006000000}">
      <formula1>"Rolling,GlobalReset"</formula1>
    </dataValidation>
    <dataValidation type="list" allowBlank="1" showInputMessage="1" showErrorMessage="1" errorTitle="Input parameter error" error="input 8 or 12" sqref="B10" xr:uid="{00000000-0002-0000-2900-000007000000}">
      <formula1>"8,12"</formula1>
    </dataValidation>
    <dataValidation type="list" allowBlank="1" showInputMessage="1" showErrorMessage="1" errorTitle="参数输入错误" error="Input range is 1,2,4" sqref="B4:B7" xr:uid="{00000000-0002-0000-2900-000008000000}">
      <formula1>"1,2,4"</formula1>
    </dataValidation>
    <dataValidation type="list" allowBlank="1" showInputMessage="1" showErrorMessage="1" errorTitle="Input parameter error" error="Input off or on" sqref="B13:B14" xr:uid="{00000000-0002-0000-2900-000009000000}">
      <formula1>"on,off"</formula1>
    </dataValidation>
  </dataValidations>
  <pageMargins left="0.7" right="0.7" top="0.75" bottom="0.75" header="0.3" footer="0.3"/>
  <pageSetup paperSize="9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J28"/>
  <sheetViews>
    <sheetView workbookViewId="0">
      <selection activeCell="B12" sqref="B12"/>
    </sheetView>
  </sheetViews>
  <sheetFormatPr defaultColWidth="9" defaultRowHeight="15"/>
  <cols>
    <col min="1" max="1" width="30.1406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2.42578125" hidden="1" customWidth="1"/>
    <col min="9" max="9" width="41.140625" hidden="1" customWidth="1"/>
    <col min="10" max="10" width="64.5703125" hidden="1" customWidth="1"/>
    <col min="11" max="11" width="24.5703125" customWidth="1"/>
  </cols>
  <sheetData>
    <row r="1" spans="1:10">
      <c r="A1" s="153" t="s">
        <v>165</v>
      </c>
      <c r="B1" s="17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4504</v>
      </c>
      <c r="C2" s="5" t="str">
        <f>IF(OR(B4=2,B5=2),IF(B2=G11,"","Input must equal to "&amp;G11&amp;""),IF(OR(B2&gt;INT(G7/8/B6)*8,B2&lt;16),LOOKUP(B6,F3:F5,I3:I5),""))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4504</v>
      </c>
      <c r="C3" s="5" t="str">
        <f>IF(OR(B4=2,B5=2),IF(B3=H11,"","Input must equal to "&amp;H11&amp;""),IF(OR(B3&gt;INT(H7/8/B7)*8,B3&lt;8),LOOKUP(B7,F3:F5,J3:J5),""))</f>
        <v/>
      </c>
      <c r="D3" s="2"/>
      <c r="E3" s="2"/>
      <c r="F3" s="2">
        <v>1</v>
      </c>
      <c r="G3" s="2">
        <f>G7</f>
        <v>4504</v>
      </c>
      <c r="H3" s="2">
        <f>H7</f>
        <v>4504</v>
      </c>
      <c r="I3" s="2" t="str">
        <f>"Input range from 16 to "&amp;G3&amp;",and is an integer multiple of 8"</f>
        <v>Input range from 16 to 4504,and is an integer multiple of 8</v>
      </c>
      <c r="J3" s="2" t="str">
        <f>"Input range from 8 to "&amp;H3&amp;",and is an integer multiple of 8"</f>
        <v>Input range from 8 to 4504,and is an integer multiple of 8</v>
      </c>
    </row>
    <row r="4" spans="1:10">
      <c r="A4" s="6" t="s">
        <v>238</v>
      </c>
      <c r="B4" s="7">
        <v>1</v>
      </c>
      <c r="C4" s="5" t="str">
        <f>IF(B4=B5,"","The horizontal and vertical skipping coefficients must be equal！")</f>
        <v/>
      </c>
      <c r="D4" s="2"/>
      <c r="E4" s="2"/>
      <c r="F4" s="2">
        <v>2</v>
      </c>
      <c r="G4" s="2">
        <f>INT(G7/8/F4)*8</f>
        <v>2248</v>
      </c>
      <c r="H4" s="2">
        <f>INT(H7/8/F4)*8</f>
        <v>2248</v>
      </c>
      <c r="I4" s="2" t="str">
        <f>"Input range from 16 to "&amp;G4&amp;",and is an integer multiple of 8"</f>
        <v>Input range from 16 to 2248,and is an integer multiple of 8</v>
      </c>
      <c r="J4" s="2" t="str">
        <f>"Input range from 8 to "&amp;H4&amp;",and is an integer multiple of 8"</f>
        <v>Input range from 8 to 2248,and is an integer multiple of 8</v>
      </c>
    </row>
    <row r="5" spans="1:10">
      <c r="A5" s="6" t="s">
        <v>240</v>
      </c>
      <c r="B5" s="7">
        <v>1</v>
      </c>
      <c r="C5" s="5" t="str">
        <f>IF(B4=B5,"","The horizontal and vertical skipping coefficients must be equal！")</f>
        <v/>
      </c>
      <c r="D5" s="2"/>
      <c r="E5" s="2"/>
      <c r="F5" s="2">
        <v>4</v>
      </c>
      <c r="G5" s="2">
        <f>INT(G7/8/F5)*8</f>
        <v>1120</v>
      </c>
      <c r="H5" s="2">
        <f>INT(H7/8/F5)*8</f>
        <v>1120</v>
      </c>
      <c r="I5" s="2" t="str">
        <f>"Input range from 16 to "&amp;G5&amp;",and is an integer multiple of 8"</f>
        <v>Input range from 16 to 1120,and is an integer multiple of 8</v>
      </c>
      <c r="J5" s="2" t="str">
        <f>"Input range from 8 to "&amp;H5&amp;",and is an integer multiple of 8"</f>
        <v>Input range from 8 to 1120,and is an integer multiple of 8</v>
      </c>
    </row>
    <row r="6" spans="1:10">
      <c r="A6" s="6" t="s">
        <v>187</v>
      </c>
      <c r="B6" s="7">
        <v>1</v>
      </c>
      <c r="C6" s="5" t="str">
        <f>IF(AND(B6&gt;1,B4&gt;1),"Horizontal Binning and Skipping cannot be set greater than 2 at the same time","")</f>
        <v/>
      </c>
      <c r="D6" s="2"/>
      <c r="E6" s="2"/>
      <c r="F6" s="2"/>
      <c r="G6" s="2"/>
      <c r="H6" s="2"/>
      <c r="I6" s="20" t="s">
        <v>383</v>
      </c>
      <c r="J6" s="2"/>
    </row>
    <row r="7" spans="1:10">
      <c r="A7" s="6" t="s">
        <v>190</v>
      </c>
      <c r="B7" s="7">
        <v>1</v>
      </c>
      <c r="C7" s="5" t="str">
        <f>IF(AND(B7&gt;1,B5&gt;1),"Horizontal Binning and Skipping cannot be set greater than 2 at the same time","")</f>
        <v/>
      </c>
      <c r="D7" s="2"/>
      <c r="E7" s="2"/>
      <c r="F7" s="2"/>
      <c r="G7" s="2">
        <v>4504</v>
      </c>
      <c r="H7" s="2">
        <v>4504</v>
      </c>
      <c r="I7" s="2"/>
      <c r="J7" s="2"/>
    </row>
    <row r="8" spans="1:10">
      <c r="A8" s="6" t="s">
        <v>196</v>
      </c>
      <c r="B8" s="7" t="s">
        <v>197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168</v>
      </c>
      <c r="B9" s="7">
        <v>50000</v>
      </c>
      <c r="C9" s="5" t="str">
        <f>IF(AND(B8="UltraShort",B9&gt;2.4),"Exposure time of Ultrashort exposure mode should not be more than 2.4us！",IF(AND(B8="Standard",B9&lt;3),"Exposure time of Standard exposure mode should not be less than 3us！",""))</f>
        <v/>
      </c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199</v>
      </c>
      <c r="B10" s="7">
        <v>0</v>
      </c>
      <c r="C10" s="5"/>
      <c r="D10" s="2"/>
      <c r="E10" s="2"/>
      <c r="F10" s="2">
        <v>1</v>
      </c>
      <c r="G10" s="2">
        <f>G14</f>
        <v>4504</v>
      </c>
      <c r="H10" s="2">
        <f>H14</f>
        <v>4504</v>
      </c>
      <c r="I10" s="2" t="str">
        <f>"Input range from 16 to "&amp;G10&amp;",and is an integer multiple of 8"</f>
        <v>Input range from 16 to 4504,and is an integer multiple of 8</v>
      </c>
      <c r="J10" s="2" t="str">
        <f>"Input range from 8 to "&amp;H10&amp;",and is an integer multiple of 8"</f>
        <v>Input range from 8 to 4504,and is an integer multiple of 8</v>
      </c>
    </row>
    <row r="11" spans="1:10">
      <c r="A11" s="3" t="s">
        <v>200</v>
      </c>
      <c r="B11" s="7">
        <v>8</v>
      </c>
      <c r="C11" s="2"/>
      <c r="D11" s="2"/>
      <c r="E11" s="2"/>
      <c r="F11" s="2">
        <v>2</v>
      </c>
      <c r="G11" s="2">
        <f>INT(G14/8/F11)*8</f>
        <v>2248</v>
      </c>
      <c r="H11" s="2">
        <f>INT(H14/8/F11)*8</f>
        <v>2248</v>
      </c>
      <c r="I11" s="2" t="str">
        <f>"Input range from 16 to "&amp;G11&amp;",and is an integer multiple of 8"</f>
        <v>Input range from 16 to 2248,and is an integer multiple of 8</v>
      </c>
      <c r="J11" s="2" t="str">
        <f>"Input range from 8 to "&amp;H11&amp;",and is an integer multiple of 8"</f>
        <v>Input range from 8 to 2248,and is an integer multiple of 8</v>
      </c>
    </row>
    <row r="12" spans="1:10">
      <c r="A12" s="3" t="s">
        <v>170</v>
      </c>
      <c r="B12" s="7">
        <v>300000000</v>
      </c>
      <c r="C12" s="2"/>
      <c r="D12" s="2"/>
      <c r="E12" s="2"/>
      <c r="F12" s="2"/>
      <c r="G12" s="2"/>
      <c r="H12" s="2"/>
      <c r="I12" s="2"/>
      <c r="J12" s="2"/>
    </row>
    <row r="13" spans="1:10" hidden="1">
      <c r="A13" s="15" t="s">
        <v>171</v>
      </c>
      <c r="B13" s="16">
        <f>IF(B8="Standard",MAX(ROUNDUP((B9-B14)/B19,0),1),IF(B9&gt;B14,ROUNDUP((B9-B14),0),1))</f>
        <v>6024</v>
      </c>
      <c r="C13" s="2"/>
      <c r="D13" s="2"/>
      <c r="E13" s="2"/>
      <c r="F13" s="2"/>
      <c r="G13" s="2"/>
      <c r="H13" s="2"/>
      <c r="I13" s="20" t="s">
        <v>383</v>
      </c>
      <c r="J13" s="2"/>
    </row>
    <row r="14" spans="1:10" hidden="1">
      <c r="A14" s="15" t="s">
        <v>413</v>
      </c>
      <c r="B14" s="16">
        <v>2.46</v>
      </c>
      <c r="C14" s="2"/>
      <c r="D14" s="2"/>
      <c r="E14" s="2"/>
      <c r="F14" s="2"/>
      <c r="G14" s="2">
        <v>4504</v>
      </c>
      <c r="H14" s="2">
        <v>4504</v>
      </c>
      <c r="I14" s="2"/>
      <c r="J14" s="2"/>
    </row>
    <row r="15" spans="1:10" hidden="1">
      <c r="A15" s="15" t="s">
        <v>414</v>
      </c>
      <c r="B15" s="16">
        <v>30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411</v>
      </c>
      <c r="B16" s="16">
        <v>112</v>
      </c>
      <c r="C16" s="2"/>
      <c r="D16" s="2"/>
      <c r="E16" s="2"/>
      <c r="F16" s="2"/>
      <c r="G16" s="2"/>
      <c r="H16" s="2"/>
      <c r="I16" s="21"/>
      <c r="J16" s="2"/>
    </row>
    <row r="17" spans="1:10" hidden="1">
      <c r="A17" s="15" t="s">
        <v>172</v>
      </c>
      <c r="B17" s="16" t="str">
        <f>IF((B11&lt;=8),"1","2")</f>
        <v>1</v>
      </c>
      <c r="C17" s="2"/>
      <c r="D17" s="2"/>
      <c r="E17" s="2"/>
      <c r="F17" s="2"/>
      <c r="G17" s="2"/>
      <c r="H17" s="2"/>
      <c r="I17" s="21"/>
      <c r="J17" s="2"/>
    </row>
    <row r="18" spans="1:10" hidden="1">
      <c r="A18" s="15" t="s">
        <v>173</v>
      </c>
      <c r="B18" s="16">
        <f>B2*B3*B17+84</f>
        <v>20286100</v>
      </c>
      <c r="C18" s="2"/>
      <c r="D18" s="2"/>
      <c r="E18" s="2"/>
      <c r="F18" s="2"/>
      <c r="G18" s="2"/>
      <c r="H18" s="2" t="s">
        <v>210</v>
      </c>
      <c r="I18" s="2">
        <f>IF(OR(B4=2,B5=2),IF(B11=8,213.75,142.5),IF(B11=8,311.25,281.25))</f>
        <v>311.25</v>
      </c>
      <c r="J18" s="2"/>
    </row>
    <row r="19" spans="1:10" hidden="1">
      <c r="A19" s="15" t="s">
        <v>174</v>
      </c>
      <c r="B19" s="16">
        <f>ROUNDUP(IF(B11=8,I18/37.5,2*I18/37.5)*1000,10)/1000</f>
        <v>8.3000000000000007</v>
      </c>
      <c r="C19" s="2"/>
      <c r="D19" s="2"/>
      <c r="E19" s="2"/>
      <c r="F19" s="2"/>
      <c r="G19" s="2"/>
      <c r="H19" s="2" t="s">
        <v>211</v>
      </c>
      <c r="I19" s="2">
        <f>IF(B8="Standard",IF(OR(B9&gt;20,B4=2,B5=2),ROUNDUP((B13+B15+ROUNDUP(B10/B19,0))*B19,0),ROUNDUP((B13+2+B3*B7+B16)*B19,0)+ROUNDUP(B10/B19,0)*B19),B13+ROUNDUP((B3*B7+B16)*B19+B10,0)+10+ROUNDUP(B14,0))</f>
        <v>50249</v>
      </c>
      <c r="J19" s="2"/>
    </row>
    <row r="20" spans="1:10" hidden="1">
      <c r="A20" s="15" t="s">
        <v>175</v>
      </c>
      <c r="B20" s="16">
        <f>IF(B8="Standard",(B3*B7+B16)*B19,ROUNDUP((B3*B7+B16)*B19,0)+10)</f>
        <v>38312.800000000003</v>
      </c>
      <c r="C20" s="2"/>
      <c r="H20" t="s">
        <v>212</v>
      </c>
      <c r="I20">
        <f>IF(B8="Standard",ROUNDUP((B3*B7+B16)*B19,0),ROUNDUP((B3*B7+B16)*B19,0)+10)</f>
        <v>38313</v>
      </c>
    </row>
    <row r="21" spans="1:10">
      <c r="A21" s="3" t="s">
        <v>176</v>
      </c>
      <c r="B21" s="7" t="s">
        <v>177</v>
      </c>
      <c r="C21" s="2"/>
      <c r="H21" s="2" t="s">
        <v>213</v>
      </c>
      <c r="I21">
        <f>IF(B8="Standard",ROUNDUP(MAX(ROUNDUP(B18*1000000/395000000/B19,0),ROUNDUP(B18*1000000/B12/B19,0))*B19,0),MAX(ROUNDUP(B18*1000000/395000000,0),ROUNDUP(B18*1000000/B12,0)))</f>
        <v>67629</v>
      </c>
    </row>
    <row r="22" spans="1:10">
      <c r="A22" s="3" t="s">
        <v>178</v>
      </c>
      <c r="B22" s="7">
        <v>19.399999999999999</v>
      </c>
      <c r="C22" s="2"/>
      <c r="H22" s="2" t="s">
        <v>214</v>
      </c>
      <c r="I22">
        <f>IF(B8="Standard",B19*(IF(B21="off",0,1))*ROUNDUP(1000*1000/(B19*B22),0),(IF(B21="off",0,1))*ROUNDUP(1000*1000/B22,0))</f>
        <v>0</v>
      </c>
    </row>
    <row r="23" spans="1:10" hidden="1">
      <c r="A23" s="17" t="s">
        <v>179</v>
      </c>
      <c r="B23" s="18">
        <f>MAX(I19,I20,I21,I22)</f>
        <v>67629</v>
      </c>
      <c r="C23" s="5"/>
    </row>
    <row r="24" spans="1:10">
      <c r="A24" s="175" t="s">
        <v>354</v>
      </c>
      <c r="B24" s="176"/>
    </row>
    <row r="25" spans="1:10" ht="22.5">
      <c r="A25" s="11" t="s">
        <v>181</v>
      </c>
      <c r="B25" s="12">
        <f>1000000/B23</f>
        <v>14.786556063227314</v>
      </c>
      <c r="C25" s="19" t="str">
        <f>IF(OR(B3&gt;INT(H7/8/B7)*8,AND(B3&lt;&gt;H11,B5=2),B3&lt;8,B2&gt;INT(G7/8/B6)*8,AND(B2&lt;&gt;G11,B4=2),B2&lt;16),I6,"")</f>
        <v/>
      </c>
    </row>
    <row r="28" spans="1:10">
      <c r="C28" s="19"/>
    </row>
  </sheetData>
  <sheetProtection algorithmName="SHA-512" hashValue="WBNkLf/EqQaS0yx4ekW1LHma+duKI2jHrtmpUN1pIEgBjgin4bjjVw6DS1Ta3q+VDlxdU0dEa1HXMEDSAr0tIw==" saltValue="8ddm0c+4tBpz3VNIzX7g1A==" spinCount="100000" sheet="1" objects="1" scenarios="1" selectLockedCells="1"/>
  <mergeCells count="2">
    <mergeCell ref="A1:B1"/>
    <mergeCell ref="A24:B24"/>
  </mergeCells>
  <phoneticPr fontId="21" type="noConversion"/>
  <conditionalFormatting sqref="B2">
    <cfRule type="cellIs" dxfId="27" priority="2" operator="notBetween">
      <formula>16</formula>
      <formula>$G$14</formula>
    </cfRule>
    <cfRule type="cellIs" dxfId="26" priority="4" operator="notBetween">
      <formula>16</formula>
      <formula>$G$7</formula>
    </cfRule>
  </conditionalFormatting>
  <conditionalFormatting sqref="B3">
    <cfRule type="cellIs" dxfId="25" priority="1" operator="notBetween">
      <formula>8</formula>
      <formula>$H$7</formula>
    </cfRule>
    <cfRule type="cellIs" dxfId="24" priority="3" operator="notBetween">
      <formula>8</formula>
      <formula>$H$14</formula>
    </cfRule>
  </conditionalFormatting>
  <conditionalFormatting sqref="B6">
    <cfRule type="expression" dxfId="23" priority="5">
      <formula>AND(#REF!&gt;1,B6&gt;1)</formula>
    </cfRule>
  </conditionalFormatting>
  <conditionalFormatting sqref="B7">
    <cfRule type="expression" dxfId="22" priority="6">
      <formula>AND(B7&gt;1,#REF!&gt;1)</formula>
    </cfRule>
  </conditionalFormatting>
  <dataValidations count="11">
    <dataValidation type="custom" allowBlank="1" showInputMessage="1" showErrorMessage="1" errorTitle="参数输入错误" error="Input range from 16 to 4504,and is an integer multiple of 8" sqref="B2" xr:uid="{00000000-0002-0000-2A00-000000000000}">
      <formula1>AND(MOD(B2,8)=0,B2&gt;=16,B2&lt;=INT(G7/8/B6)*8)</formula1>
    </dataValidation>
    <dataValidation type="whole" allowBlank="1" showInputMessage="1" showErrorMessage="1" errorTitle="参数输入错误" error="Exposure delay time range 0-5000_x000a_" sqref="B10" xr:uid="{00000000-0002-0000-2A00-000001000000}">
      <formula1>0</formula1>
      <formula2>5000</formula2>
    </dataValidation>
    <dataValidation type="custom" allowBlank="1" showInputMessage="1" showErrorMessage="1" errorTitle="参数输入错误" error="Input range from 8 to 4504,and is an integer multiple of 8" sqref="B3" xr:uid="{00000000-0002-0000-2A00-000002000000}">
      <formula1>AND(MOD(B3,8)=0,B3&gt;=8,B3&lt;=INT(H7/8/B7)*8)</formula1>
    </dataValidation>
    <dataValidation type="list" allowBlank="1" showInputMessage="1" showErrorMessage="1" errorTitle="参数输入错误" error="Input &quot;Standard&quot; or &quot;UltraShort&quot;" sqref="B8" xr:uid="{00000000-0002-0000-2A00-000003000000}">
      <formula1>"Standard,UltraShort"</formula1>
    </dataValidation>
    <dataValidation type="custom" allowBlank="1" showInputMessage="1" showErrorMessage="1" errorTitle="参数输入错误" error="Ultrashort mode Exposure time range:1.0us-2.4us;Standard mode Exposure time range:3us-1000000us" sqref="B9" xr:uid="{00000000-0002-0000-2A00-000004000000}">
      <formula1>OR(AND(B8="UltraShort",B9&gt;=1,B9&lt;=2.4),AND(B8="Standard",B9&gt;=3,B9&lt;=1000000))</formula1>
    </dataValidation>
    <dataValidation type="list" allowBlank="1" showInputMessage="1" showErrorMessage="1" errorTitle="参数输入错误" error="Input 8 or 10 or 12" sqref="B11" xr:uid="{00000000-0002-0000-2A00-000005000000}">
      <formula1>"8,10,12"</formula1>
    </dataValidation>
    <dataValidation type="custom" allowBlank="1" showInputMessage="1" showErrorMessage="1" errorTitle="参数输入错误" error="8bit mode range from 35000000 to 400000000,step 1000000;_x000a_10bit or 12bit mode range from 70000000 to 400000000,step 1000000" sqref="B12" xr:uid="{00000000-0002-0000-2A00-000006000000}">
      <formula1>OR(AND(B11=8,B12&gt;=35000000,B12&lt;=400000000,MOD(B12,1000000)=0),AND(OR(B11=10,B11=12),B12&gt;=70000000,B12&lt;=400000000,MOD(B12,1000000)=0))</formula1>
    </dataValidation>
    <dataValidation type="list" allowBlank="1" showInputMessage="1" showErrorMessage="1" errorTitle="参数输入错误" error="Input &quot;on&quot; or &quot;off&quot; only" sqref="B21" xr:uid="{00000000-0002-0000-2A00-000007000000}">
      <formula1>"on,off"</formula1>
    </dataValidation>
    <dataValidation type="custom" allowBlank="1" showInputMessage="1" showErrorMessage="1" errorTitle="参数输入错误" error="Input range from 0.1 to 10000,step 0.1" sqref="B22" xr:uid="{00000000-0002-0000-2A00-000008000000}">
      <formula1>AND(MOD(10*B22,1)=0,B22&gt;=0.1,B22&lt;=10000)</formula1>
    </dataValidation>
    <dataValidation type="list" allowBlank="1" showInputMessage="1" showErrorMessage="1" errorTitle="参数输入错误" error="Input 1 or 2" sqref="B4:B5" xr:uid="{00000000-0002-0000-2A00-000009000000}">
      <formula1>"1,2"</formula1>
    </dataValidation>
    <dataValidation type="list" allowBlank="1" showInputMessage="1" showErrorMessage="1" errorTitle="参数输入错误" error="Input 1 or 2 or 4" sqref="B6:B7" xr:uid="{00000000-0002-0000-2A00-00000A000000}">
      <formula1>"1,2,4"</formula1>
    </dataValidation>
  </dataValidation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J28"/>
  <sheetViews>
    <sheetView workbookViewId="0">
      <selection activeCell="B2" sqref="B2"/>
    </sheetView>
  </sheetViews>
  <sheetFormatPr defaultColWidth="9" defaultRowHeight="15"/>
  <cols>
    <col min="1" max="1" width="30.1406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2.42578125" hidden="1" customWidth="1"/>
    <col min="9" max="9" width="41.140625" hidden="1" customWidth="1"/>
    <col min="10" max="10" width="64.5703125" hidden="1" customWidth="1"/>
    <col min="11" max="11" width="24.5703125" customWidth="1"/>
  </cols>
  <sheetData>
    <row r="1" spans="1:10">
      <c r="A1" s="153" t="s">
        <v>165</v>
      </c>
      <c r="B1" s="17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5328</v>
      </c>
      <c r="C2" s="5" t="str">
        <f>IF(OR(B4=2,B5=2),IF(B2=G11,"","Input must equal to "&amp;G11&amp;""),IF(OR(B2&gt;INT(G7/8/B6)*8,B2&lt;16),LOOKUP(B6,F3:F5,I3:I5),""))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4608</v>
      </c>
      <c r="C3" s="5" t="str">
        <f>IF(OR(B4=2,B5=2),IF(B3=H11,"","Input must equal to "&amp;H11&amp;""),IF(OR(B3&gt;INT(H7/8/B7)*8,B3&lt;8),LOOKUP(B7,F3:F5,J3:J5),""))</f>
        <v/>
      </c>
      <c r="D3" s="2"/>
      <c r="E3" s="2"/>
      <c r="F3" s="2">
        <v>1</v>
      </c>
      <c r="G3" s="2">
        <f>G7</f>
        <v>5328</v>
      </c>
      <c r="H3" s="2">
        <f>H7</f>
        <v>4608</v>
      </c>
      <c r="I3" s="2" t="str">
        <f>"Input range from 16 to "&amp;G3&amp;",and is an integer multiple of 8"</f>
        <v>Input range from 16 to 5328,and is an integer multiple of 8</v>
      </c>
      <c r="J3" s="2" t="str">
        <f>"Input range from 8 to "&amp;H3&amp;",and is an integer multiple of 8"</f>
        <v>Input range from 8 to 4608,and is an integer multiple of 8</v>
      </c>
    </row>
    <row r="4" spans="1:10">
      <c r="A4" s="6" t="s">
        <v>238</v>
      </c>
      <c r="B4" s="7">
        <v>1</v>
      </c>
      <c r="C4" s="5" t="str">
        <f>IF(B4=B5,"","The horizontal and vertical skipping coefficients must be equal！")</f>
        <v/>
      </c>
      <c r="D4" s="2"/>
      <c r="E4" s="2"/>
      <c r="F4" s="2">
        <v>2</v>
      </c>
      <c r="G4" s="2">
        <f>INT(G7/8/F4)*8</f>
        <v>2664</v>
      </c>
      <c r="H4" s="2">
        <f>INT(H7/8/F4)*8</f>
        <v>2304</v>
      </c>
      <c r="I4" s="2" t="str">
        <f>"Input range from 16 to "&amp;G4&amp;",and is an integer multiple of 8"</f>
        <v>Input range from 16 to 2664,and is an integer multiple of 8</v>
      </c>
      <c r="J4" s="2" t="str">
        <f>"Input range from 8 to "&amp;H4&amp;",and is an integer multiple of 8"</f>
        <v>Input range from 8 to 2304,and is an integer multiple of 8</v>
      </c>
    </row>
    <row r="5" spans="1:10">
      <c r="A5" s="6" t="s">
        <v>240</v>
      </c>
      <c r="B5" s="7">
        <v>1</v>
      </c>
      <c r="C5" s="5" t="str">
        <f>IF(B4=B5,"","The horizontal and vertical skipping coefficients must be equal！")</f>
        <v/>
      </c>
      <c r="D5" s="2"/>
      <c r="E5" s="2"/>
      <c r="F5" s="2">
        <v>4</v>
      </c>
      <c r="G5" s="2">
        <f>INT(G7/8/F5)*8</f>
        <v>1328</v>
      </c>
      <c r="H5" s="2">
        <f>INT(H7/8/F5)*8</f>
        <v>1152</v>
      </c>
      <c r="I5" s="2" t="str">
        <f>"Input range from 16 to "&amp;G5&amp;",and is an integer multiple of 8"</f>
        <v>Input range from 16 to 1328,and is an integer multiple of 8</v>
      </c>
      <c r="J5" s="2" t="str">
        <f>"Input range from 8 to "&amp;H5&amp;",and is an integer multiple of 8"</f>
        <v>Input range from 8 to 1152,and is an integer multiple of 8</v>
      </c>
    </row>
    <row r="6" spans="1:10">
      <c r="A6" s="6" t="s">
        <v>187</v>
      </c>
      <c r="B6" s="7">
        <v>1</v>
      </c>
      <c r="C6" s="5" t="str">
        <f>IF(AND(B6&gt;1,B4&gt;1),"Horizontal Binning and Skipping cannot be set greater than 2 at the same time","")</f>
        <v/>
      </c>
      <c r="D6" s="2"/>
      <c r="E6" s="2"/>
      <c r="F6" s="2"/>
      <c r="G6" s="2"/>
      <c r="H6" s="2"/>
      <c r="I6" s="20" t="s">
        <v>383</v>
      </c>
      <c r="J6" s="2"/>
    </row>
    <row r="7" spans="1:10">
      <c r="A7" s="6" t="s">
        <v>190</v>
      </c>
      <c r="B7" s="7">
        <v>1</v>
      </c>
      <c r="C7" s="5" t="str">
        <f>IF(AND(B7&gt;1,B5&gt;1),"Horizontal Binning and Skipping cannot be set greater than 2 at the same time","")</f>
        <v/>
      </c>
      <c r="D7" s="2"/>
      <c r="E7" s="2"/>
      <c r="F7" s="2"/>
      <c r="G7" s="2">
        <v>5328</v>
      </c>
      <c r="H7" s="2">
        <v>4608</v>
      </c>
      <c r="I7" s="2"/>
      <c r="J7" s="2"/>
    </row>
    <row r="8" spans="1:10">
      <c r="A8" s="14" t="s">
        <v>196</v>
      </c>
      <c r="B8" s="4" t="s">
        <v>197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168</v>
      </c>
      <c r="B9" s="7">
        <v>60000</v>
      </c>
      <c r="C9" s="5" t="str">
        <f>IF(AND(B8="UltraShort",B9&gt;2.4),"Exposure time of Ultrashort exposure mode should not be more than 2.4us！",IF(AND(B8="Standard",B9&lt;3),"Exposure time of Standard exposure mode should not be less than 3us！",""))</f>
        <v/>
      </c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199</v>
      </c>
      <c r="B10" s="7">
        <v>0</v>
      </c>
      <c r="C10" s="5"/>
      <c r="D10" s="2"/>
      <c r="E10" s="2"/>
      <c r="F10" s="2">
        <v>1</v>
      </c>
      <c r="G10" s="2">
        <f>G14</f>
        <v>5328</v>
      </c>
      <c r="H10" s="2">
        <f>H14</f>
        <v>4608</v>
      </c>
      <c r="I10" s="2" t="str">
        <f>"Input range from 16 to "&amp;G10&amp;",and is an integer multiple of 8"</f>
        <v>Input range from 16 to 5328,and is an integer multiple of 8</v>
      </c>
      <c r="J10" s="2" t="str">
        <f>"Input range from 8 to "&amp;H10&amp;",and is an integer multiple of 8"</f>
        <v>Input range from 8 to 4608,and is an integer multiple of 8</v>
      </c>
    </row>
    <row r="11" spans="1:10">
      <c r="A11" s="3" t="s">
        <v>200</v>
      </c>
      <c r="B11" s="7">
        <v>8</v>
      </c>
      <c r="C11" s="2"/>
      <c r="D11" s="2"/>
      <c r="E11" s="2"/>
      <c r="F11" s="2">
        <v>2</v>
      </c>
      <c r="G11" s="2">
        <f>INT(G14/8/F11)*8</f>
        <v>2664</v>
      </c>
      <c r="H11" s="2">
        <f>INT(H14/8/F11)*8</f>
        <v>2304</v>
      </c>
      <c r="I11" s="2" t="str">
        <f>"Input range from 16 to "&amp;G11&amp;",and is an integer multiple of 8"</f>
        <v>Input range from 16 to 2664,and is an integer multiple of 8</v>
      </c>
      <c r="J11" s="2" t="str">
        <f>"Input range from 8 to "&amp;H11&amp;",and is an integer multiple of 8"</f>
        <v>Input range from 8 to 2304,and is an integer multiple of 8</v>
      </c>
    </row>
    <row r="12" spans="1:10">
      <c r="A12" s="3" t="s">
        <v>170</v>
      </c>
      <c r="B12" s="7">
        <v>300000000</v>
      </c>
      <c r="C12" s="2"/>
      <c r="D12" s="2"/>
      <c r="E12" s="2"/>
      <c r="F12" s="2"/>
      <c r="G12" s="2"/>
      <c r="H12" s="2"/>
      <c r="I12" s="2"/>
      <c r="J12" s="2"/>
    </row>
    <row r="13" spans="1:10" hidden="1">
      <c r="A13" s="15" t="s">
        <v>171</v>
      </c>
      <c r="B13" s="16">
        <f>IF(B8="Standard",MAX(ROUNDUP((B9-B14)/B19,0),1),IF(B9&gt;B14,ROUNDUP((B9-B14),0),1))</f>
        <v>6218</v>
      </c>
      <c r="C13" s="2"/>
      <c r="D13" s="2"/>
      <c r="E13" s="2"/>
      <c r="F13" s="2"/>
      <c r="G13" s="2"/>
      <c r="H13" s="2"/>
      <c r="I13" s="20" t="s">
        <v>383</v>
      </c>
      <c r="J13" s="2"/>
    </row>
    <row r="14" spans="1:10" hidden="1">
      <c r="A14" s="15" t="s">
        <v>413</v>
      </c>
      <c r="B14" s="16">
        <v>2.46</v>
      </c>
      <c r="C14" s="2"/>
      <c r="D14" s="2"/>
      <c r="E14" s="2"/>
      <c r="F14" s="2"/>
      <c r="G14" s="2">
        <v>5328</v>
      </c>
      <c r="H14" s="2">
        <v>4608</v>
      </c>
      <c r="I14" s="2"/>
      <c r="J14" s="2"/>
    </row>
    <row r="15" spans="1:10" hidden="1">
      <c r="A15" s="15" t="s">
        <v>414</v>
      </c>
      <c r="B15" s="16">
        <v>26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411</v>
      </c>
      <c r="B16" s="16">
        <v>110</v>
      </c>
      <c r="C16" s="2"/>
      <c r="D16" s="2"/>
      <c r="E16" s="2"/>
      <c r="F16" s="2"/>
      <c r="G16" s="2"/>
      <c r="H16" s="2"/>
      <c r="I16" s="21"/>
      <c r="J16" s="2"/>
    </row>
    <row r="17" spans="1:10" hidden="1">
      <c r="A17" s="15" t="s">
        <v>172</v>
      </c>
      <c r="B17" s="16" t="str">
        <f>IF((B11&lt;=8),"1","2")</f>
        <v>1</v>
      </c>
      <c r="C17" s="2"/>
      <c r="D17" s="2"/>
      <c r="E17" s="2"/>
      <c r="F17" s="2"/>
      <c r="G17" s="2"/>
      <c r="H17" s="2"/>
      <c r="I17" s="21"/>
      <c r="J17" s="2"/>
    </row>
    <row r="18" spans="1:10" hidden="1">
      <c r="A18" s="15" t="s">
        <v>173</v>
      </c>
      <c r="B18" s="16">
        <f>B2*B3*B17+84</f>
        <v>24551508</v>
      </c>
      <c r="C18" s="2"/>
      <c r="D18" s="2"/>
      <c r="E18" s="2"/>
      <c r="F18" s="2"/>
      <c r="G18" s="2"/>
      <c r="H18" s="2" t="s">
        <v>210</v>
      </c>
      <c r="I18" s="2">
        <f>IF(OR(B4=2,B5=2),IF(B11=8,213.75,166.875),IF(B11=8,361.875,326.25))</f>
        <v>361.875</v>
      </c>
      <c r="J18" s="2"/>
    </row>
    <row r="19" spans="1:10" hidden="1">
      <c r="A19" s="15" t="s">
        <v>174</v>
      </c>
      <c r="B19" s="16">
        <f>ROUNDUP(IF(B11=8,I18/37.5,2*I18/37.5)*1000,10)/1000</f>
        <v>9.65</v>
      </c>
      <c r="C19" s="2"/>
      <c r="D19" s="2"/>
      <c r="E19" s="2"/>
      <c r="F19" s="2"/>
      <c r="G19" s="2"/>
      <c r="H19" s="2" t="s">
        <v>211</v>
      </c>
      <c r="I19" s="2">
        <f>IF(B8="Standard",IF(OR(B9&gt;20,B4=2,B5=2),ROUNDUP((B13+B15+ROUNDUP(B10/B19,0))*B19,0),ROUNDUP((B13+2+B3*B7+B16)*B19,0)+ROUNDUP(B10/B19,0)*B19),B13+ROUNDUP((B3*B7+B16)*B19+B10,0)+10+ROUNDUP(B14,0))</f>
        <v>60255</v>
      </c>
      <c r="J19" s="2"/>
    </row>
    <row r="20" spans="1:10" hidden="1">
      <c r="A20" s="15" t="s">
        <v>175</v>
      </c>
      <c r="B20" s="16">
        <f>IF(B8="Standard",(B3*B7+B16)*B19,ROUNDUP((B3*B7+B16)*B19,0)+10)</f>
        <v>45528.700000000004</v>
      </c>
      <c r="C20" s="2"/>
      <c r="H20" t="s">
        <v>212</v>
      </c>
      <c r="I20">
        <f>IF(B8="Standard",ROUNDUP((B3*B7+B16)*B19,0),ROUNDUP((B3*B7+B16)*B19,0)+10)</f>
        <v>45529</v>
      </c>
    </row>
    <row r="21" spans="1:10">
      <c r="A21" s="3" t="s">
        <v>176</v>
      </c>
      <c r="B21" s="7" t="s">
        <v>177</v>
      </c>
      <c r="C21" s="2"/>
      <c r="H21" s="2" t="s">
        <v>213</v>
      </c>
      <c r="I21">
        <f>IF(B8="Standard",ROUNDUP(MAX(ROUNDUP(B18*1000000/395000000/B19,0),ROUNDUP(B18*1000000/B12/B19,0))*B19,0),MAX(ROUNDUP(B18*1000000/395000000,0),ROUNDUP(B18*1000000/B12,0)))</f>
        <v>81842</v>
      </c>
    </row>
    <row r="22" spans="1:10">
      <c r="A22" s="3" t="s">
        <v>178</v>
      </c>
      <c r="B22" s="7">
        <v>16.100000000000001</v>
      </c>
      <c r="C22" s="2"/>
      <c r="H22" s="2" t="s">
        <v>214</v>
      </c>
      <c r="I22">
        <f>IF(B8="Standard",B19*(IF(B21="off",0,1))*ROUNDUP(1000*1000/(B19*B22),0),(IF(B21="off",0,1))*ROUNDUP(1000*1000/B22,0))</f>
        <v>0</v>
      </c>
    </row>
    <row r="23" spans="1:10" hidden="1">
      <c r="A23" s="17" t="s">
        <v>179</v>
      </c>
      <c r="B23" s="18">
        <f>MAX(I19,I20,I21,I22)</f>
        <v>81842</v>
      </c>
      <c r="C23" s="5"/>
    </row>
    <row r="24" spans="1:10">
      <c r="A24" s="175" t="s">
        <v>354</v>
      </c>
      <c r="B24" s="176"/>
    </row>
    <row r="25" spans="1:10" ht="22.5">
      <c r="A25" s="11" t="s">
        <v>181</v>
      </c>
      <c r="B25" s="12">
        <f>1000000/B23</f>
        <v>12.218665233009945</v>
      </c>
      <c r="C25" s="19" t="str">
        <f>IF(OR(B3&gt;INT(H7/8/B7)*8,AND(B3&lt;&gt;H11,B5=2),B3&lt;8,B2&gt;INT(G7/8/B6)*8,AND(B2&lt;&gt;G11,B4=2),B2&lt;16),I6,"")</f>
        <v/>
      </c>
    </row>
    <row r="28" spans="1:10">
      <c r="C28" s="19"/>
    </row>
  </sheetData>
  <sheetProtection algorithmName="SHA-512" hashValue="YnUdB5BwXJUbHPVGoqMWcxD9wlOHv8LHBW60vTnRRK+F5uJqL9MvfrPDSxCdxfjF0YWMr075y7lSAray285Gcg==" saltValue="CkKkYWUIqf9mvUf3nbTKow==" spinCount="100000" sheet="1" objects="1" scenarios="1" selectLockedCells="1"/>
  <mergeCells count="2">
    <mergeCell ref="A1:B1"/>
    <mergeCell ref="A24:B24"/>
  </mergeCells>
  <phoneticPr fontId="21" type="noConversion"/>
  <conditionalFormatting sqref="B2">
    <cfRule type="cellIs" dxfId="21" priority="2" operator="notBetween">
      <formula>16</formula>
      <formula>$G$14</formula>
    </cfRule>
    <cfRule type="cellIs" dxfId="20" priority="4" operator="notBetween">
      <formula>16</formula>
      <formula>$G$7</formula>
    </cfRule>
  </conditionalFormatting>
  <conditionalFormatting sqref="B3">
    <cfRule type="cellIs" dxfId="19" priority="1" operator="notBetween">
      <formula>8</formula>
      <formula>$H$7</formula>
    </cfRule>
    <cfRule type="cellIs" dxfId="18" priority="3" operator="notBetween">
      <formula>8</formula>
      <formula>$H$14</formula>
    </cfRule>
  </conditionalFormatting>
  <conditionalFormatting sqref="B6">
    <cfRule type="expression" dxfId="17" priority="5">
      <formula>AND(#REF!&gt;1,B6&gt;1)</formula>
    </cfRule>
  </conditionalFormatting>
  <conditionalFormatting sqref="B7">
    <cfRule type="expression" dxfId="16" priority="6">
      <formula>AND(B7&gt;1,#REF!&gt;1)</formula>
    </cfRule>
  </conditionalFormatting>
  <dataValidations count="11">
    <dataValidation type="custom" allowBlank="1" showInputMessage="1" showErrorMessage="1" errorTitle="参数输入错误" error="8bit mode range from 35000000 to 400000000,step 1000000;_x000a_10bit or 12bit mode range from 70000000 to 400000000,step 1000000" sqref="B12" xr:uid="{00000000-0002-0000-2B00-000000000000}">
      <formula1>OR(AND(B11=8,B12&gt;=35000000,B12&lt;=400000000,MOD(B12,1000000)=0),AND(OR(B11=10,B11=12),B12&gt;=70000000,B12&lt;=400000000,MOD(B12,1000000)=0))</formula1>
    </dataValidation>
    <dataValidation type="custom" allowBlank="1" showInputMessage="1" showErrorMessage="1" errorTitle="参数输入错误" error="Input range from 16 to 5328,and is an integer multiple of 8" sqref="B2" xr:uid="{00000000-0002-0000-2B00-000001000000}">
      <formula1>AND(MOD(B2,8)=0,B2&gt;=16,B2&lt;=INT(G7/8/B6)*8)</formula1>
    </dataValidation>
    <dataValidation type="custom" allowBlank="1" showInputMessage="1" showErrorMessage="1" errorTitle="参数输入错误" error="Input range from 8 to 4608,and is an integer multiple of 8" sqref="B3" xr:uid="{00000000-0002-0000-2B00-000002000000}">
      <formula1>AND(MOD(B3,8)=0,B3&gt;=8,B3&lt;=INT(H7/8/B7)*8)</formula1>
    </dataValidation>
    <dataValidation type="list" allowBlank="1" showInputMessage="1" showErrorMessage="1" errorTitle="参数输入错误" error="Input &quot;Standard&quot; or &quot;UltraShort&quot;" sqref="B8" xr:uid="{00000000-0002-0000-2B00-000003000000}">
      <formula1>"Standard,UltraShort"</formula1>
    </dataValidation>
    <dataValidation type="custom" allowBlank="1" showInputMessage="1" showErrorMessage="1" errorTitle="参数输入错误" error="Ultrashort mode Exposure time range:1.0us-2.4us;Standard mode Exposure time range:3us-1000000us" sqref="B9" xr:uid="{00000000-0002-0000-2B00-000004000000}">
      <formula1>OR(AND(B8="UltraShort",B9&gt;=1,B9&lt;=2.4),AND(B8="Standard",B9&gt;=3,B9&lt;=1000000))</formula1>
    </dataValidation>
    <dataValidation type="whole" allowBlank="1" showInputMessage="1" showErrorMessage="1" errorTitle="参数输入错误" error="Exposure delay time range 0-5000_x000a_" sqref="B10" xr:uid="{00000000-0002-0000-2B00-000005000000}">
      <formula1>0</formula1>
      <formula2>5000</formula2>
    </dataValidation>
    <dataValidation type="list" allowBlank="1" showInputMessage="1" showErrorMessage="1" errorTitle="参数输入错误" error="Input 8 or 10 or 12" sqref="B11" xr:uid="{00000000-0002-0000-2B00-000006000000}">
      <formula1>"8,10,12"</formula1>
    </dataValidation>
    <dataValidation type="list" allowBlank="1" showInputMessage="1" showErrorMessage="1" errorTitle="参数输入错误" error="Input &quot;on&quot; or &quot;off&quot; only" sqref="B21" xr:uid="{00000000-0002-0000-2B00-000007000000}">
      <formula1>"on,off"</formula1>
    </dataValidation>
    <dataValidation type="custom" allowBlank="1" showInputMessage="1" showErrorMessage="1" errorTitle="参数输入错误" error="Input range from 0.1 to 10000,step 0.1" sqref="B22" xr:uid="{00000000-0002-0000-2B00-000008000000}">
      <formula1>AND(MOD(10*B22,1)=0,B22&gt;=0.1,B22&lt;=10000)</formula1>
    </dataValidation>
    <dataValidation type="list" allowBlank="1" showInputMessage="1" showErrorMessage="1" errorTitle="参数输入错误" error="Input 1 or 2" sqref="B4:B5" xr:uid="{00000000-0002-0000-2B00-000009000000}">
      <formula1>"1,2"</formula1>
    </dataValidation>
    <dataValidation type="list" allowBlank="1" showInputMessage="1" showErrorMessage="1" errorTitle="参数输入错误" error="Input 1 or 2 or 4" sqref="B6:B7" xr:uid="{00000000-0002-0000-2B00-00000A000000}">
      <formula1>"1,2,4"</formula1>
    </dataValidation>
  </dataValidation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J44"/>
  <sheetViews>
    <sheetView workbookViewId="0">
      <selection activeCell="B2" sqref="B2"/>
    </sheetView>
  </sheetViews>
  <sheetFormatPr defaultColWidth="9" defaultRowHeight="15"/>
  <cols>
    <col min="1" max="1" width="36.85546875" customWidth="1"/>
    <col min="2" max="2" width="39" customWidth="1"/>
    <col min="3" max="3" width="92.5703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5120</v>
      </c>
      <c r="C2" s="5" t="str">
        <f>IF(OR(B2&gt;5120/B4,B2&lt;16),LOOKUP(B4,F3:F5,I3:I5),IF(OR(B2&gt;5120/B6,B2&lt;16),LOOKUP(B6,F12:F14,I12:I14),""))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5120</v>
      </c>
      <c r="C3" s="5" t="str">
        <f>IF(OR(B3&gt;5120/B5,B3&lt;2),LOOKUP(B5,F3:F5,J3:J5),IF(OR(B3&gt;5120/B7,B3&lt;2),LOOKUP(B7,F12:F14,J11:J13),""))</f>
        <v/>
      </c>
      <c r="D3" s="2"/>
      <c r="E3" s="2"/>
      <c r="F3" s="2">
        <v>1</v>
      </c>
      <c r="G3" s="2">
        <f>8*INT(5120/(8*F3))</f>
        <v>5120</v>
      </c>
      <c r="H3" s="2">
        <f>2*INT(5120/(2*F3))</f>
        <v>5120</v>
      </c>
      <c r="I3" s="2" t="str">
        <f>"Input range from 16 to "&amp;G3&amp;",and is an integer multiple of 8"</f>
        <v>Input range from 16 to 5120,and is an integer multiple of 8</v>
      </c>
      <c r="J3" s="2" t="str">
        <f>"Input range from 2 to "&amp;H3&amp;",and is an integer multiple of 2"</f>
        <v>Input range from 2 to 5120,and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8*INT(5120/(8*F4))</f>
        <v>2560</v>
      </c>
      <c r="H4" s="2">
        <f>2*INT(5120/(2*F4))</f>
        <v>2560</v>
      </c>
      <c r="I4" s="2" t="str">
        <f>"Input range from 16 to "&amp;G4&amp;",and is an integer multiple of 8"</f>
        <v>Input range from 16 to 2560,and is an integer multiple of 8</v>
      </c>
      <c r="J4" s="2" t="str">
        <f>"Input range from 2 to "&amp;H4&amp;",and is an integer multiple of 2"</f>
        <v>Input range from 2 to 2560,and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8*INT(5120/(8*F5))</f>
        <v>1280</v>
      </c>
      <c r="H5" s="2">
        <f>2*INT(5120/(2*F5))</f>
        <v>1280</v>
      </c>
      <c r="I5" s="2" t="str">
        <f>"Input range from 16 to "&amp;G5&amp;",and is an integer multiple of 8"</f>
        <v>Input range from 16 to 1280,and is an integer multiple of 8</v>
      </c>
      <c r="J5" s="2" t="str">
        <f>"Input range from 2 to "&amp;H5&amp;",and is an integer multiple of 2"</f>
        <v>Input range from 2 to 1280,and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5120/B4</f>
        <v>5120</v>
      </c>
      <c r="H7" s="2">
        <f>5120/B5</f>
        <v>5120</v>
      </c>
      <c r="I7" s="2"/>
      <c r="J7" s="2"/>
    </row>
    <row r="8" spans="1:10">
      <c r="A8" s="3" t="s">
        <v>168</v>
      </c>
      <c r="B8" s="7">
        <v>60000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315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5120,and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8*INT(5120/(8*F11))</f>
        <v>5120</v>
      </c>
      <c r="H11" s="2">
        <f>2*INT(5120/(2*F11))</f>
        <v>5120</v>
      </c>
      <c r="I11" s="2" t="str">
        <f>"Input range from 16 to "&amp;G11&amp;",and is an integer multiple of 8"</f>
        <v>Input range from 16 to 5120,and is an integer multiple of 8</v>
      </c>
      <c r="J11" s="2" t="str">
        <f>"Input range from 2 to "&amp;H12&amp;",and is an integer multiple of 2"</f>
        <v>Input range from 2 to 2560,and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8*INT(5120/(8*F12))</f>
        <v>2560</v>
      </c>
      <c r="H12" s="2">
        <f>2*INT(5120/(2*F12))</f>
        <v>2560</v>
      </c>
      <c r="I12" s="2" t="str">
        <f>"Input range from 16 to "&amp;G12&amp;",and is an integer multiple of 8"</f>
        <v>Input range from 16 to 2560,and is an integer multiple of 8</v>
      </c>
      <c r="J12" s="2" t="str">
        <f>"Input range from 2 to "&amp;H13&amp;",and is an integer multiple of 2"</f>
        <v>Input range from 2 to 1280,and is an integer multiple of 2</v>
      </c>
    </row>
    <row r="13" spans="1:10" ht="14.25" customHeight="1">
      <c r="A13" s="3" t="s">
        <v>178</v>
      </c>
      <c r="B13" s="7">
        <v>15.1</v>
      </c>
      <c r="C13" s="2"/>
      <c r="D13" s="2"/>
      <c r="E13" s="2"/>
      <c r="F13" s="2">
        <v>4</v>
      </c>
      <c r="G13" s="2">
        <f>8*INT(5120/(8*F13))</f>
        <v>1280</v>
      </c>
      <c r="H13" s="2">
        <f>2*INT(5120/(2*F13))</f>
        <v>1280</v>
      </c>
      <c r="I13" s="2" t="str">
        <f>"Input range from 16 to "&amp;G13&amp;",and is an integer multiple of 8"</f>
        <v>Input range from 16 to 1280,and is an integer multiple of 8</v>
      </c>
      <c r="J13" s="2"/>
    </row>
    <row r="14" spans="1:10" ht="18" hidden="1" customHeight="1">
      <c r="A14" s="6" t="s">
        <v>285</v>
      </c>
      <c r="B14" s="7">
        <f>IF(B10=8,124,248)</f>
        <v>124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275</v>
      </c>
      <c r="B15" s="7">
        <v>14</v>
      </c>
      <c r="C15" s="2"/>
      <c r="D15" s="2"/>
      <c r="E15" s="2"/>
      <c r="F15" s="2"/>
      <c r="G15" s="2">
        <f>5120/B6</f>
        <v>5120</v>
      </c>
      <c r="H15" s="2">
        <f>5120/B7</f>
        <v>5120</v>
      </c>
      <c r="I15" s="2"/>
      <c r="J15" s="2"/>
    </row>
    <row r="16" spans="1:10" ht="18" hidden="1" customHeight="1">
      <c r="A16" s="6" t="s">
        <v>286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287</v>
      </c>
      <c r="B17" s="7">
        <v>636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288</v>
      </c>
      <c r="B18" s="7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289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290</v>
      </c>
      <c r="B20" s="7">
        <f>ROUNDUP(5*B21,0)</f>
        <v>62000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291</v>
      </c>
      <c r="B21" s="7">
        <f>ROUNDUP(48*B14/(60*8)*1000,0)</f>
        <v>12400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292</v>
      </c>
      <c r="B22" s="7">
        <f>ROUNDUP((1000*B8-1000*B17/60)/1000,0)</f>
        <v>59990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293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294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295</v>
      </c>
      <c r="B25" s="9">
        <f>ROUNDUP(((B3*B5+B15+B19)*B21+B20)/1000,0)</f>
        <v>63736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296</v>
      </c>
      <c r="B26" s="10">
        <f>ROUNDUP(B8+B9-B17/60+2*B21/1000+B20/1000,0)</f>
        <v>60077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297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298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299</v>
      </c>
      <c r="B29" s="7">
        <v>3970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300</v>
      </c>
      <c r="B30" s="7">
        <f>B2*B3*IF(B10=8,1,2)</f>
        <v>26214400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301</v>
      </c>
      <c r="B31" s="7">
        <f>52+32+B30</f>
        <v>26214484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302</v>
      </c>
      <c r="B32" s="10">
        <f>ROUNDUP(MAX((B31*1000000/B11),B31*10/B29),0)</f>
        <v>87382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87382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4" t="s">
        <v>180</v>
      </c>
      <c r="B34" s="164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11.444004486049758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 t="str">
        <f>IF(OR(B3&gt;5120/B5,B3&gt;5120/B7,B3&lt;2,B2&gt;5120/B4,B2&gt;5120/B6,B2&lt;16),I6,"")</f>
        <v/>
      </c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T5UpT1yq2/zlzlIpj2Zv8YcORJaXilE2j07kGj+hJ0XNr8QttfyfXyVISfl1mr5lGeZ6VAGQOTv0Jc3Pxn7rqQ==" saltValue="XQpW1Y+meNPJZfIyRUUvKQ==" spinCount="100000" sheet="1" objects="1" scenarios="1" selectLockedCells="1"/>
  <mergeCells count="1">
    <mergeCell ref="A34:B34"/>
  </mergeCells>
  <phoneticPr fontId="21" type="noConversion"/>
  <conditionalFormatting sqref="B2">
    <cfRule type="cellIs" dxfId="15" priority="11" operator="notBetween">
      <formula>16</formula>
      <formula>$G$7</formula>
    </cfRule>
    <cfRule type="cellIs" dxfId="14" priority="12" operator="notBetween">
      <formula>16</formula>
      <formula>$G$15</formula>
    </cfRule>
  </conditionalFormatting>
  <conditionalFormatting sqref="B3">
    <cfRule type="cellIs" dxfId="13" priority="13" operator="notBetween">
      <formula>2</formula>
      <formula>$H$7</formula>
    </cfRule>
    <cfRule type="cellIs" dxfId="12" priority="14" operator="notBetween">
      <formula>2</formula>
      <formula>$H$15</formula>
    </cfRule>
  </conditionalFormatting>
  <conditionalFormatting sqref="B4">
    <cfRule type="expression" dxfId="11" priority="4">
      <formula>AND(B6&gt;1,B4&gt;1)</formula>
    </cfRule>
  </conditionalFormatting>
  <conditionalFormatting sqref="B5">
    <cfRule type="expression" dxfId="10" priority="2">
      <formula>AND(B5&gt;1,B7&gt;1)</formula>
    </cfRule>
  </conditionalFormatting>
  <conditionalFormatting sqref="B6">
    <cfRule type="expression" dxfId="9" priority="3">
      <formula>AND(B6&gt;1,B4&gt;1)</formula>
    </cfRule>
  </conditionalFormatting>
  <conditionalFormatting sqref="B7">
    <cfRule type="expression" dxfId="8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8" sqref="B2" xr:uid="{00000000-0002-0000-2C00-000000000000}">
      <formula1>AND(MOD(B2,8)=0,B2&gt;=16,B2&lt;=5120/B4,B2&lt;=5120/B6)</formula1>
    </dataValidation>
    <dataValidation type="whole" allowBlank="1" showInputMessage="1" showErrorMessage="1" errorTitle="Input parameter error" error="Input range from 0 to 5000" sqref="B9" xr:uid="{00000000-0002-0000-2C00-000001000000}">
      <formula1>0</formula1>
      <formula2>5000</formula2>
    </dataValidation>
    <dataValidation type="custom" allowBlank="1" showInputMessage="1" showErrorMessage="1" errorTitle="Input parameter error" error="Input parameter is out of range or cannot be divided by 2" sqref="B3" xr:uid="{00000000-0002-0000-2C00-000002000000}">
      <formula1>AND(MOD(B3,2)=0,B3&gt;=2,B3&lt;=5120/B5,B3&lt;=5120/B7)</formula1>
    </dataValidation>
    <dataValidation type="whole" allowBlank="1" showInputMessage="1" showErrorMessage="1" errorTitle="Input parameter error" error="Input range from 11 to 1000000" sqref="B8" xr:uid="{00000000-0002-0000-2C00-000003000000}">
      <formula1>11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C00-000004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2C00-000005000000}">
      <formula1>"on,off"</formula1>
    </dataValidation>
    <dataValidation type="list" allowBlank="1" showInputMessage="1" showErrorMessage="1" errorTitle="Input parameter error" error="Input 8 or 12" sqref="B10" xr:uid="{00000000-0002-0000-2C00-000006000000}">
      <formula1>"8,12"</formula1>
    </dataValidation>
    <dataValidation type="custom" allowBlank="1" showInputMessage="1" showErrorMessage="1" errorTitle="参数输入错误" error="输入范围为0.1-10000，步进值为0.1" sqref="B13" xr:uid="{00000000-0002-0000-2C00-000007000000}">
      <formula1>AND(MOD(10*B13,1)=0,B13&gt;=0.1,B13&lt;=10000)</formula1>
    </dataValidation>
    <dataValidation type="list" allowBlank="1" showInputMessage="1" showErrorMessage="1" errorTitle="Input parameter error" error="Input range is 1,2,4" sqref="B4:B7" xr:uid="{00000000-0002-0000-2C00-000008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J44"/>
  <sheetViews>
    <sheetView workbookViewId="0">
      <selection activeCell="C54" sqref="C54"/>
    </sheetView>
  </sheetViews>
  <sheetFormatPr defaultColWidth="9" defaultRowHeight="15"/>
  <cols>
    <col min="1" max="1" width="36.85546875" customWidth="1"/>
    <col min="2" max="2" width="40.42578125" customWidth="1"/>
    <col min="3" max="3" width="92.5703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5120</v>
      </c>
      <c r="C2" s="5" t="str">
        <f>IF(OR(B2&gt;5120/B4,B2&lt;16),LOOKUP(B4,F3:F5,I3:I5),IF(OR(B2&gt;5120/B6,B2&lt;16),LOOKUP(B6,F12:F14,I12:I14),""))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5120</v>
      </c>
      <c r="C3" s="5" t="str">
        <f>IF(OR(B3&gt;5120/B5,B3&lt;2),LOOKUP(B5,F3:F5,J3:J5),IF(OR(B3&gt;5120/B7,B3&lt;2),LOOKUP(B7,F12:F14,J11:J13),""))</f>
        <v/>
      </c>
      <c r="D3" s="2"/>
      <c r="E3" s="2"/>
      <c r="F3" s="2">
        <v>1</v>
      </c>
      <c r="G3" s="2">
        <f>8*INT(5120/(8*F3))</f>
        <v>5120</v>
      </c>
      <c r="H3" s="2">
        <f>2*INT(5120/(2*F3))</f>
        <v>5120</v>
      </c>
      <c r="I3" s="2" t="str">
        <f>"Input range from 16 to "&amp;G3&amp;",and is an integer multiple of 8"</f>
        <v>Input range from 16 to 5120,and is an integer multiple of 8</v>
      </c>
      <c r="J3" s="2" t="str">
        <f>"Input range from 2 to "&amp;H3&amp;",and is an integer multiple of 2"</f>
        <v>Input range from 2 to 5120,and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8*INT(5120/(8*F4))</f>
        <v>2560</v>
      </c>
      <c r="H4" s="2">
        <f>2*INT(5120/(2*F4))</f>
        <v>2560</v>
      </c>
      <c r="I4" s="2" t="str">
        <f>"Input range from 16 to "&amp;G4&amp;",and is an integer multiple of 8"</f>
        <v>Input range from 16 to 2560,and is an integer multiple of 8</v>
      </c>
      <c r="J4" s="2" t="str">
        <f>"Input range from 2 to "&amp;H4&amp;",and is an integer multiple of 2"</f>
        <v>Input range from 2 to 2560,and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8*INT(5120/(8*F5))</f>
        <v>1280</v>
      </c>
      <c r="H5" s="2">
        <f>2*INT(5120/(2*F5))</f>
        <v>1280</v>
      </c>
      <c r="I5" s="2" t="str">
        <f>"Input range from 16 to "&amp;G5&amp;",and is an integer multiple of 8"</f>
        <v>Input range from 16 to 1280,and is an integer multiple of 8</v>
      </c>
      <c r="J5" s="2" t="str">
        <f>"Input range from 2 to "&amp;H5&amp;",and is an integer multiple of 2"</f>
        <v>Input range from 2 to 1280,and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5120/B4</f>
        <v>5120</v>
      </c>
      <c r="H7" s="2">
        <f>5120/B5</f>
        <v>5120</v>
      </c>
      <c r="I7" s="2"/>
      <c r="J7" s="2"/>
    </row>
    <row r="8" spans="1:10">
      <c r="A8" s="3" t="s">
        <v>168</v>
      </c>
      <c r="B8" s="7">
        <v>60000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315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5120,and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8*INT(5120/(8*F11))</f>
        <v>5120</v>
      </c>
      <c r="H11" s="2">
        <f>2*INT(5120/(2*F11))</f>
        <v>5120</v>
      </c>
      <c r="I11" s="2" t="str">
        <f>"Input range from 16 to "&amp;G11&amp;",and is an integer multiple of 8"</f>
        <v>Input range from 16 to 5120,and is an integer multiple of 8</v>
      </c>
      <c r="J11" s="2" t="str">
        <f>"Input range from 2 to "&amp;H12&amp;",and is an integer multiple of 2"</f>
        <v>Input range from 2 to 2560,and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8*INT(5120/(8*F12))</f>
        <v>2560</v>
      </c>
      <c r="H12" s="2">
        <f>2*INT(5120/(2*F12))</f>
        <v>2560</v>
      </c>
      <c r="I12" s="2" t="str">
        <f>"Input range from 16 to "&amp;G12&amp;",and is an integer multiple of 8"</f>
        <v>Input range from 16 to 2560,and is an integer multiple of 8</v>
      </c>
      <c r="J12" s="2" t="str">
        <f>"Input range from 2 to "&amp;H13&amp;",and is an integer multiple of 2"</f>
        <v>Input range from 2 to 1280,and is an integer multiple of 2</v>
      </c>
    </row>
    <row r="13" spans="1:10" ht="14.25" customHeight="1">
      <c r="A13" s="3" t="s">
        <v>178</v>
      </c>
      <c r="B13" s="7">
        <v>15.1</v>
      </c>
      <c r="C13" s="2"/>
      <c r="D13" s="2"/>
      <c r="E13" s="2"/>
      <c r="F13" s="2">
        <v>4</v>
      </c>
      <c r="G13" s="2">
        <f>8*INT(5120/(8*F13))</f>
        <v>1280</v>
      </c>
      <c r="H13" s="2">
        <f>2*INT(5120/(2*F13))</f>
        <v>1280</v>
      </c>
      <c r="I13" s="2" t="str">
        <f>"Input range from 16 to "&amp;G13&amp;",and is an integer multiple of 8"</f>
        <v>Input range from 16 to 1280,and is an integer multiple of 8</v>
      </c>
      <c r="J13" s="2"/>
    </row>
    <row r="14" spans="1:10" ht="18" hidden="1" customHeight="1">
      <c r="A14" s="6" t="s">
        <v>285</v>
      </c>
      <c r="B14" s="7">
        <f>IF(B10=8,124,248)</f>
        <v>124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275</v>
      </c>
      <c r="B15" s="7">
        <v>14</v>
      </c>
      <c r="C15" s="2"/>
      <c r="D15" s="2"/>
      <c r="E15" s="2"/>
      <c r="F15" s="2"/>
      <c r="G15" s="2">
        <f>5120/B6</f>
        <v>5120</v>
      </c>
      <c r="H15" s="2">
        <f>5120/B7</f>
        <v>5120</v>
      </c>
      <c r="I15" s="2"/>
      <c r="J15" s="2"/>
    </row>
    <row r="16" spans="1:10" ht="18" hidden="1" customHeight="1">
      <c r="A16" s="6" t="s">
        <v>286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287</v>
      </c>
      <c r="B17" s="7">
        <v>636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288</v>
      </c>
      <c r="B18" s="7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289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290</v>
      </c>
      <c r="B20" s="7">
        <f>ROUNDUP(5*B21,0)</f>
        <v>62000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291</v>
      </c>
      <c r="B21" s="7">
        <f>ROUNDUP(48*B14/(60*8)*1000,0)</f>
        <v>12400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292</v>
      </c>
      <c r="B22" s="7">
        <f>ROUNDUP((1000*B8-1000*B17/60)/1000,0)</f>
        <v>59990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293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294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295</v>
      </c>
      <c r="B25" s="9">
        <f>ROUNDUP(((B3*B5+B15+B19)*B21+B20)/1000,0)</f>
        <v>63736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296</v>
      </c>
      <c r="B26" s="10">
        <f>ROUNDUP(B8+B9-B17/60+2*B21/1000+B20/1000,0)</f>
        <v>60077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297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298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299</v>
      </c>
      <c r="B29" s="7">
        <v>3970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300</v>
      </c>
      <c r="B30" s="7">
        <f>B2*B3*IF(B10=8,1,2)</f>
        <v>26214400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301</v>
      </c>
      <c r="B31" s="7">
        <f>52+32+B30</f>
        <v>26214484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302</v>
      </c>
      <c r="B32" s="10">
        <f>ROUNDUP(MAX((B31*1000000/B11),B31*10/B29),0)</f>
        <v>87382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87382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4" t="s">
        <v>180</v>
      </c>
      <c r="B34" s="164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11.444004486049758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 t="str">
        <f>IF(OR(B3&gt;5120/B5,B3&gt;5120/B7,B3&lt;2,B2&gt;5120/B4,B2&gt;5120/B6,B2&lt;16),I6,"")</f>
        <v/>
      </c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BGQj/qVqFkMjPWNZaAbyXO8bVjOz/GVOo3DdAD0CBWixJrWuju5ui1/1Qk79YNB4A9OJL8okmfh4Uy64+w9EQw==" saltValue="nKIlUzCj5Enll+3YmAfplQ==" spinCount="100000" sheet="1" objects="1" scenarios="1"/>
  <mergeCells count="1">
    <mergeCell ref="A34:B34"/>
  </mergeCells>
  <phoneticPr fontId="21" type="noConversion"/>
  <conditionalFormatting sqref="B2">
    <cfRule type="cellIs" dxfId="7" priority="5" operator="notBetween">
      <formula>16</formula>
      <formula>$G$7</formula>
    </cfRule>
    <cfRule type="cellIs" dxfId="6" priority="6" operator="notBetween">
      <formula>16</formula>
      <formula>$G$15</formula>
    </cfRule>
  </conditionalFormatting>
  <conditionalFormatting sqref="B3">
    <cfRule type="cellIs" dxfId="5" priority="7" operator="notBetween">
      <formula>2</formula>
      <formula>$H$7</formula>
    </cfRule>
    <cfRule type="cellIs" dxfId="4" priority="8" operator="notBetween">
      <formula>2</formula>
      <formula>$H$15</formula>
    </cfRule>
  </conditionalFormatting>
  <conditionalFormatting sqref="B4">
    <cfRule type="expression" dxfId="3" priority="4">
      <formula>AND(B6&gt;1,B4&gt;1)</formula>
    </cfRule>
  </conditionalFormatting>
  <conditionalFormatting sqref="B5">
    <cfRule type="expression" dxfId="2" priority="2">
      <formula>AND(B5&gt;1,B7&gt;1)</formula>
    </cfRule>
  </conditionalFormatting>
  <conditionalFormatting sqref="B6">
    <cfRule type="expression" dxfId="1" priority="3">
      <formula>AND(B6&gt;1,B4&gt;1)</formula>
    </cfRule>
  </conditionalFormatting>
  <conditionalFormatting sqref="B7">
    <cfRule type="expression" dxfId="0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8" sqref="B2" xr:uid="{00000000-0002-0000-2D00-000000000000}">
      <formula1>AND(MOD(B2,8)=0,B2&gt;=16,B2&lt;=5120/B4,B2&lt;=5120/B6)</formula1>
    </dataValidation>
    <dataValidation type="whole" allowBlank="1" showInputMessage="1" showErrorMessage="1" errorTitle="Input parameter error" error="Input range from 0 to 5000" sqref="B9" xr:uid="{00000000-0002-0000-2D00-000001000000}">
      <formula1>0</formula1>
      <formula2>5000</formula2>
    </dataValidation>
    <dataValidation type="custom" allowBlank="1" showInputMessage="1" showErrorMessage="1" errorTitle="Input parameter error" error="Input parameter is out of range or cannot be divided by 2" sqref="B3" xr:uid="{00000000-0002-0000-2D00-000002000000}">
      <formula1>AND(MOD(B3,2)=0,B3&gt;=2,B3&lt;=5120/B5,B3&lt;=5120/B7)</formula1>
    </dataValidation>
    <dataValidation type="whole" allowBlank="1" showInputMessage="1" showErrorMessage="1" errorTitle="Input parameter error" error="Input range from 11 to 1000000" sqref="B8" xr:uid="{00000000-0002-0000-2D00-000003000000}">
      <formula1>11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D00-000004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2D00-000005000000}">
      <formula1>"on,off"</formula1>
    </dataValidation>
    <dataValidation type="list" allowBlank="1" showInputMessage="1" showErrorMessage="1" errorTitle="Input parameter error" error="Input 8 or 12" sqref="B10" xr:uid="{00000000-0002-0000-2D00-000006000000}">
      <formula1>"8,12"</formula1>
    </dataValidation>
    <dataValidation type="custom" allowBlank="1" showInputMessage="1" showErrorMessage="1" errorTitle="参数输入错误" error="输入范围为0.1-10000，步进值为0.1" sqref="B13" xr:uid="{00000000-0002-0000-2D00-000007000000}">
      <formula1>AND(MOD(10*B13,1)=0,B13&gt;=0.1,B13&lt;=10000)</formula1>
    </dataValidation>
    <dataValidation type="list" allowBlank="1" showInputMessage="1" showErrorMessage="1" errorTitle="Input parameter error" error="Input range is 1,2,4" sqref="B4:B7" xr:uid="{00000000-0002-0000-2D00-000008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2"/>
  <sheetViews>
    <sheetView workbookViewId="0">
      <selection activeCell="B2" sqref="B2"/>
    </sheetView>
  </sheetViews>
  <sheetFormatPr defaultColWidth="9" defaultRowHeight="15"/>
  <cols>
    <col min="1" max="1" width="39.28515625" customWidth="1"/>
    <col min="2" max="2" width="28.85546875" customWidth="1"/>
  </cols>
  <sheetData>
    <row r="1" spans="1:2">
      <c r="A1" s="153" t="s">
        <v>165</v>
      </c>
      <c r="B1" s="154"/>
    </row>
    <row r="2" spans="1:2">
      <c r="A2" s="3" t="s">
        <v>166</v>
      </c>
      <c r="B2" s="4">
        <v>720</v>
      </c>
    </row>
    <row r="3" spans="1:2">
      <c r="A3" s="3" t="s">
        <v>167</v>
      </c>
      <c r="B3" s="4">
        <v>540</v>
      </c>
    </row>
    <row r="4" spans="1:2">
      <c r="A4" s="3" t="s">
        <v>168</v>
      </c>
      <c r="B4" s="7">
        <v>10000</v>
      </c>
    </row>
    <row r="5" spans="1:2">
      <c r="A5" s="3" t="s">
        <v>169</v>
      </c>
      <c r="B5" s="7">
        <v>8</v>
      </c>
    </row>
    <row r="6" spans="1:2">
      <c r="A6" s="3" t="s">
        <v>170</v>
      </c>
      <c r="B6" s="7">
        <v>200000000</v>
      </c>
    </row>
    <row r="7" spans="1:2" hidden="1">
      <c r="A7" s="3" t="s">
        <v>171</v>
      </c>
      <c r="B7" s="7">
        <f>MAX(ROUNDUP((B4*1000-14260)/B10,0),1)</f>
        <v>694</v>
      </c>
    </row>
    <row r="8" spans="1:2" hidden="1">
      <c r="A8" s="3" t="s">
        <v>172</v>
      </c>
      <c r="B8" s="7" t="str">
        <f>IF((B5&lt;=8),"1","2")</f>
        <v>1</v>
      </c>
    </row>
    <row r="9" spans="1:2" hidden="1">
      <c r="A9" s="3" t="s">
        <v>173</v>
      </c>
      <c r="B9" s="7">
        <f>B2*B3*B8+84</f>
        <v>388884</v>
      </c>
    </row>
    <row r="10" spans="1:2" hidden="1">
      <c r="A10" s="3" t="s">
        <v>174</v>
      </c>
      <c r="B10" s="7">
        <f>540*1000000*B8/37500</f>
        <v>14400</v>
      </c>
    </row>
    <row r="11" spans="1:2" hidden="1">
      <c r="A11" s="3" t="s">
        <v>175</v>
      </c>
      <c r="B11" s="7">
        <f>(B3+30)*B10</f>
        <v>8208000</v>
      </c>
    </row>
    <row r="12" spans="1:2">
      <c r="A12" s="3" t="s">
        <v>176</v>
      </c>
      <c r="B12" s="7" t="s">
        <v>177</v>
      </c>
    </row>
    <row r="13" spans="1:2">
      <c r="A13" s="3" t="s">
        <v>178</v>
      </c>
      <c r="B13" s="7">
        <v>121.8</v>
      </c>
    </row>
    <row r="14" spans="1:2" hidden="1">
      <c r="A14" s="6" t="s">
        <v>179</v>
      </c>
      <c r="B14" s="95">
        <f>MAX(ROUNDUP(((B9*1000000/B6)*1000)/B10,0)*B10,ROUNDUP(((B9*10/2000))/B10,0)*B10,(B7+8)*B10,B11,B10*(IF(B12="off",0,1))*ROUNDUP(1000000000/(B10*B13),0))</f>
        <v>10108800</v>
      </c>
    </row>
    <row r="15" spans="1:2">
      <c r="A15" s="155" t="s">
        <v>180</v>
      </c>
      <c r="B15" s="156"/>
    </row>
    <row r="16" spans="1:2" ht="22.5">
      <c r="A16" s="11" t="s">
        <v>181</v>
      </c>
      <c r="B16" s="12">
        <f>1000000000/B14</f>
        <v>98.923710034821141</v>
      </c>
    </row>
    <row r="29" spans="1:2" hidden="1">
      <c r="A29" s="129" t="s">
        <v>216</v>
      </c>
      <c r="B29" s="130">
        <f>ROUNDUP(((B9*1000000/B6)*1000),0)</f>
        <v>1944420</v>
      </c>
    </row>
    <row r="30" spans="1:2" hidden="1">
      <c r="A30" s="129" t="s">
        <v>217</v>
      </c>
      <c r="B30" s="129">
        <f>ROUNDUP((1000000000/B13)*(IF(B12="off",0,1)),0)</f>
        <v>0</v>
      </c>
    </row>
    <row r="31" spans="1:2" hidden="1">
      <c r="A31" s="129" t="s">
        <v>218</v>
      </c>
      <c r="B31" s="129">
        <f>IF(ROUNDUP(((B4*1000-14260)*37500/1000000),0)&lt;552,552,ROUNDUP(((B4*1000-14260)*37500/1000000),0))</f>
        <v>374466</v>
      </c>
    </row>
    <row r="32" spans="1:2" hidden="1">
      <c r="A32" s="129" t="s">
        <v>219</v>
      </c>
      <c r="B32" s="129">
        <f>ROUNDUP(MAX(B29,B30)*37500/((B3+30)*1000000),0)</f>
        <v>128</v>
      </c>
    </row>
  </sheetData>
  <sheetProtection algorithmName="SHA-512" hashValue="sUDT7+dgNvV1evH+6GF9ctK5K/KO/oPPMiCWeyfLY2GsG6EOwC6+O0UchLX+s+kV4YbjVOxfjFt57bVcOtRc1w==" saltValue="N+scJhVu8/r+Mt2aR8t+UA==" spinCount="100000" sheet="1" objects="1" scenarios="1" selectLockedCells="1"/>
  <mergeCells count="2">
    <mergeCell ref="A1:B1"/>
    <mergeCell ref="A15:B15"/>
  </mergeCells>
  <phoneticPr fontId="21" type="noConversion"/>
  <dataValidations count="7">
    <dataValidation type="custom" allowBlank="1" showInputMessage="1" showErrorMessage="1" errorTitle="Input parameter error" error="Input parameter error,Input range from 4 to 540,and is an integer multiple of 2" sqref="B3" xr:uid="{00000000-0002-0000-0400-000000000000}">
      <formula1>AND(MOD(B3,2)=0,B3&gt;=4,B3&lt;=540)</formula1>
    </dataValidation>
    <dataValidation type="custom" allowBlank="1" showInputMessage="1" showErrorMessage="1" errorTitle="Input parameter error" error="Input parameter error,Input range from 64 to 720,and is an integer multiple of 4" sqref="B2" xr:uid="{00000000-0002-0000-0400-000001000000}">
      <formula1>AND(MOD(B2,4)=0,B2&gt;=64,B2&lt;=720)</formula1>
    </dataValidation>
    <dataValidation type="list" allowBlank="1" showInputMessage="1" showErrorMessage="1" errorTitle="Input parameter error" error="Input 8 or 10" sqref="B5" xr:uid="{00000000-0002-0000-0400-000002000000}">
      <formula1>"8,10"</formula1>
    </dataValidation>
    <dataValidation type="whole" allowBlank="1" showInputMessage="1" showErrorMessage="1" errorTitle="Input parameter error" error="Input range is 20-1000000" sqref="B4" xr:uid="{00000000-0002-0000-0400-000003000000}">
      <formula1>20</formula1>
      <formula2>1000000</formula2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0400-000004000000}">
      <formula1>OR(AND(B5=8,B6&gt;=35000000,B6&lt;=200000000,MOD(B6,1000000)=0),AND(B5=10,B6&gt;=70000000,B6&lt;=200000000,MOD(B6,1000000)=0))</formula1>
    </dataValidation>
    <dataValidation type="list" allowBlank="1" showInputMessage="1" showErrorMessage="1" errorTitle="Input parameter error" error="Input on or off" sqref="B12" xr:uid="{00000000-0002-0000-0400-000005000000}">
      <formula1>"on,off"</formula1>
    </dataValidation>
    <dataValidation type="custom" allowBlank="1" showInputMessage="1" showErrorMessage="1" errorTitle="Input parameter error" error="Input range from 0.1 to 10000,step 0.1" sqref="B13" xr:uid="{00000000-0002-0000-0400-000006000000}">
      <formula1>AND(MOD(10*B13,1)=0,B13&gt;=0.1,B13&lt;=10000)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1"/>
  <sheetViews>
    <sheetView workbookViewId="0">
      <selection activeCell="K55" sqref="K55"/>
    </sheetView>
  </sheetViews>
  <sheetFormatPr defaultColWidth="9" defaultRowHeight="15"/>
  <cols>
    <col min="1" max="1" width="37.140625" customWidth="1"/>
    <col min="2" max="2" width="28.42578125" customWidth="1"/>
    <col min="6" max="6" width="13.5703125" hidden="1" customWidth="1"/>
    <col min="7" max="8" width="9" hidden="1" customWidth="1"/>
    <col min="9" max="9" width="54.5703125" hidden="1" customWidth="1"/>
    <col min="10" max="10" width="25.28515625" hidden="1" customWidth="1"/>
  </cols>
  <sheetData>
    <row r="1" spans="1:10">
      <c r="A1" s="153" t="s">
        <v>165</v>
      </c>
      <c r="B1" s="154"/>
      <c r="F1" s="2"/>
      <c r="G1" s="2"/>
      <c r="H1" s="2"/>
      <c r="I1" s="2"/>
      <c r="J1" s="2"/>
    </row>
    <row r="2" spans="1:10">
      <c r="A2" s="3" t="s">
        <v>166</v>
      </c>
      <c r="B2" s="4">
        <v>1280</v>
      </c>
      <c r="C2" s="5" t="str">
        <f>IF(AND(OR(B4=2,B6=2),B2&gt;640),"The image width range is [8,640]",(IF(OR(B2&gt;1280/B4,B2&lt;8),LOOKUP(B4,F3:F5,I3:I5),IF(OR(B2&gt;1280/B6,B2&lt;8),LOOKUP(B6,F10:F12,I10:I12),""))))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1024</v>
      </c>
      <c r="C3" s="5" t="str">
        <f>IF(AND(OR(B5=2,B7=2),B3&gt;512),"The image height range is [4,512]",(IF(OR(B3&gt;1024/B5,B3&lt;4),LOOKUP(B5,F3:F5,J3:J5),IF(OR(B3&gt;1024/B7,B3&lt;4),LOOKUP(B7,F10:F12,J10:J12),""))))</f>
        <v/>
      </c>
      <c r="D3" s="2"/>
      <c r="E3" s="2"/>
      <c r="F3" s="2">
        <v>1</v>
      </c>
      <c r="G3" s="2">
        <v>1280</v>
      </c>
      <c r="H3" s="2">
        <v>1024</v>
      </c>
      <c r="I3" s="2" t="s">
        <v>220</v>
      </c>
      <c r="J3" s="2" t="s">
        <v>221</v>
      </c>
    </row>
    <row r="4" spans="1:10">
      <c r="A4" s="6" t="s">
        <v>187</v>
      </c>
      <c r="B4" s="7">
        <v>1</v>
      </c>
      <c r="C4" s="5" t="str">
        <f>IF(AND(B4&gt;1,B6&gt;1),"Horizontal binning and skipping cannot be set greater than 2 at the same time","")</f>
        <v/>
      </c>
      <c r="D4" s="2"/>
      <c r="E4" s="2"/>
      <c r="F4" s="2">
        <v>2</v>
      </c>
      <c r="G4" s="2">
        <v>640</v>
      </c>
      <c r="H4" s="2">
        <v>512</v>
      </c>
      <c r="I4" s="2" t="s">
        <v>222</v>
      </c>
      <c r="J4" s="2" t="s">
        <v>223</v>
      </c>
    </row>
    <row r="5" spans="1:10">
      <c r="A5" s="6" t="s">
        <v>190</v>
      </c>
      <c r="B5" s="7">
        <v>1</v>
      </c>
      <c r="C5" s="5" t="str">
        <f>IF(AND(B5&gt;1,B7&gt;1),"Vertical binning and skipping cannot be set greater than 2 at the same time","")</f>
        <v/>
      </c>
      <c r="D5" s="2"/>
      <c r="E5" s="2"/>
      <c r="F5" s="2">
        <v>4</v>
      </c>
      <c r="G5" s="2">
        <v>320</v>
      </c>
      <c r="H5" s="2">
        <v>256</v>
      </c>
      <c r="I5" s="2" t="s">
        <v>224</v>
      </c>
      <c r="J5" s="2" t="s">
        <v>225</v>
      </c>
    </row>
    <row r="6" spans="1:10">
      <c r="A6" s="6" t="s">
        <v>193</v>
      </c>
      <c r="B6" s="7">
        <v>1</v>
      </c>
      <c r="C6" s="5" t="str">
        <f>IF(AND(B7&lt;&gt;B6),"",(IF(AND(B4&gt;1,B6&gt;1),"Horizontal binning and skipping cannot be set greater than 2 at the same time ","")))</f>
        <v/>
      </c>
      <c r="D6" s="2"/>
      <c r="E6" s="2"/>
      <c r="F6" s="2"/>
      <c r="G6" s="2"/>
      <c r="H6" s="2"/>
      <c r="I6" s="2" t="s">
        <v>226</v>
      </c>
      <c r="J6" s="2"/>
    </row>
    <row r="7" spans="1:10">
      <c r="A7" s="6" t="s">
        <v>195</v>
      </c>
      <c r="B7" s="7">
        <v>1</v>
      </c>
      <c r="C7" s="5" t="str">
        <f>IF(AND(B6&lt;&gt;B7),"",(IF(AND(B5&gt;1,B7&gt;1),"Vertical binning and skipping cannot be set greater than 2 at the same time ","")))</f>
        <v/>
      </c>
      <c r="D7" s="2"/>
      <c r="E7" s="2"/>
      <c r="F7" s="2"/>
      <c r="G7" s="2">
        <v>1280</v>
      </c>
      <c r="H7" s="2">
        <v>1024</v>
      </c>
      <c r="I7" s="2"/>
      <c r="J7" s="2"/>
    </row>
    <row r="8" spans="1:10">
      <c r="A8" s="3" t="s">
        <v>168</v>
      </c>
      <c r="B8" s="135">
        <v>10000</v>
      </c>
      <c r="F8" s="2"/>
      <c r="G8" s="2"/>
      <c r="H8" s="2"/>
      <c r="I8" s="2"/>
      <c r="J8" s="2"/>
    </row>
    <row r="9" spans="1:10">
      <c r="A9" s="3" t="s">
        <v>199</v>
      </c>
      <c r="B9" s="135">
        <v>0</v>
      </c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169</v>
      </c>
      <c r="B10" s="135">
        <v>8</v>
      </c>
      <c r="F10" s="2">
        <v>1</v>
      </c>
      <c r="G10" s="2">
        <v>1280</v>
      </c>
      <c r="H10" s="2">
        <v>1024</v>
      </c>
      <c r="I10" s="2" t="s">
        <v>227</v>
      </c>
      <c r="J10" s="2" t="s">
        <v>221</v>
      </c>
    </row>
    <row r="11" spans="1:10">
      <c r="A11" s="3" t="s">
        <v>170</v>
      </c>
      <c r="B11" s="135">
        <v>300000000</v>
      </c>
      <c r="F11" s="2">
        <v>2</v>
      </c>
      <c r="G11" s="2">
        <v>640</v>
      </c>
      <c r="H11" s="2">
        <v>512</v>
      </c>
      <c r="I11" s="2" t="s">
        <v>228</v>
      </c>
      <c r="J11" s="2" t="s">
        <v>223</v>
      </c>
    </row>
    <row r="12" spans="1:10" hidden="1">
      <c r="A12" s="3"/>
      <c r="B12" s="135"/>
      <c r="F12" s="2">
        <v>4</v>
      </c>
      <c r="G12" s="2">
        <v>320</v>
      </c>
      <c r="H12" s="2">
        <v>256</v>
      </c>
      <c r="I12" s="2" t="s">
        <v>229</v>
      </c>
      <c r="J12" s="2" t="s">
        <v>225</v>
      </c>
    </row>
    <row r="13" spans="1:10" hidden="1">
      <c r="A13" s="3" t="s">
        <v>172</v>
      </c>
      <c r="B13" s="135" t="str">
        <f>IF((B10&lt;=8),"1","2")</f>
        <v>1</v>
      </c>
      <c r="F13" s="2"/>
      <c r="G13" s="2"/>
      <c r="H13" s="2"/>
      <c r="I13" s="2" t="s">
        <v>226</v>
      </c>
      <c r="J13" s="2"/>
    </row>
    <row r="14" spans="1:10" hidden="1">
      <c r="A14" s="3" t="s">
        <v>173</v>
      </c>
      <c r="B14" s="135">
        <f>B2*B3*B13+84</f>
        <v>1310804</v>
      </c>
      <c r="F14" s="2"/>
      <c r="G14" s="2">
        <v>1280</v>
      </c>
      <c r="H14" s="2">
        <v>1024</v>
      </c>
      <c r="I14" s="2"/>
      <c r="J14" s="2"/>
    </row>
    <row r="15" spans="1:10" hidden="1">
      <c r="A15" s="3" t="s">
        <v>174</v>
      </c>
      <c r="B15" s="135">
        <f>IF((B10=8),6.325,6.325)</f>
        <v>6.3250000000000002</v>
      </c>
      <c r="F15" s="2"/>
      <c r="G15" s="2"/>
      <c r="H15" s="2"/>
      <c r="I15" s="2"/>
      <c r="J15" s="2"/>
    </row>
    <row r="16" spans="1:10" hidden="1">
      <c r="A16" s="3" t="s">
        <v>175</v>
      </c>
      <c r="B16" s="135">
        <f>IF(B5=1,ROUNDUP((B3*B5+10+ROUNDUP((24-(B3/512)*2),0))*B15,0),ROUNDUP(1054*B15,0))</f>
        <v>6667</v>
      </c>
      <c r="F16" s="2"/>
      <c r="G16" s="2"/>
      <c r="H16" s="2"/>
      <c r="I16" s="2"/>
      <c r="J16" s="2"/>
    </row>
    <row r="17" spans="1:10">
      <c r="A17" s="3" t="s">
        <v>176</v>
      </c>
      <c r="B17" s="135" t="s">
        <v>177</v>
      </c>
      <c r="F17" s="2"/>
      <c r="G17" s="2"/>
      <c r="H17" s="2"/>
      <c r="I17" s="2"/>
      <c r="J17" s="2"/>
    </row>
    <row r="18" spans="1:10">
      <c r="A18" s="3" t="s">
        <v>178</v>
      </c>
      <c r="B18" s="135">
        <v>150</v>
      </c>
      <c r="F18" s="2"/>
      <c r="G18" s="2"/>
      <c r="H18" s="2"/>
      <c r="I18" s="2"/>
      <c r="J18" s="2"/>
    </row>
    <row r="19" spans="1:10" hidden="1">
      <c r="A19" s="3" t="s">
        <v>179</v>
      </c>
      <c r="B19" s="136">
        <f>MAX(B14*1000000/B11,B14*1000000/395000000,ROUNDUP((ROUNDUP((B8+B9)/B15,0)+3)*B15,0),B16,B15*(IF(B17="off",0,1))*INT((1000000/B18)/B15))</f>
        <v>10026</v>
      </c>
      <c r="C19" s="5" t="str">
        <f>IF(OR(B3&gt;1024/B5,B3&lt;4,B2&gt;1280/B4,B2&lt;8),I6,IF(OR(B3&gt;1024/B7,B3&lt;4,B2&gt;1280/B6,B2&lt;8),I13,""))</f>
        <v/>
      </c>
      <c r="F19" s="2"/>
      <c r="G19" s="2"/>
      <c r="H19" s="2"/>
      <c r="I19" s="2"/>
      <c r="J19" s="2"/>
    </row>
    <row r="20" spans="1:10">
      <c r="A20" s="157"/>
      <c r="B20" s="158"/>
    </row>
    <row r="21" spans="1:10" ht="22.5">
      <c r="A21" s="137" t="s">
        <v>181</v>
      </c>
      <c r="B21" s="138">
        <f>1000000/B19</f>
        <v>99.740674246957909</v>
      </c>
    </row>
  </sheetData>
  <sheetProtection algorithmName="SHA-512" hashValue="/v5Qntywm6MLauYz7/BT1GF5BatsqScQUwuPOLz37uAJ9O24e06IaLKLqy30ZP3BxAbITmqY3PE0ofN7YlTZ3A==" saltValue="1p8gVrj83tI84EZOhvqhJg==" spinCount="100000" sheet="1" objects="1" scenarios="1"/>
  <mergeCells count="2">
    <mergeCell ref="A1:B1"/>
    <mergeCell ref="A20:B20"/>
  </mergeCells>
  <phoneticPr fontId="21" type="noConversion"/>
  <conditionalFormatting sqref="B2">
    <cfRule type="cellIs" dxfId="236" priority="6" operator="notBetween">
      <formula>4</formula>
      <formula>$G$14</formula>
    </cfRule>
    <cfRule type="cellIs" dxfId="235" priority="8" operator="notBetween">
      <formula>4</formula>
      <formula>$G$7</formula>
    </cfRule>
  </conditionalFormatting>
  <conditionalFormatting sqref="B3">
    <cfRule type="cellIs" dxfId="234" priority="5" operator="notBetween">
      <formula>4</formula>
      <formula>$H$7</formula>
    </cfRule>
    <cfRule type="cellIs" dxfId="233" priority="7" operator="notBetween">
      <formula>4</formula>
      <formula>$H$14</formula>
    </cfRule>
  </conditionalFormatting>
  <conditionalFormatting sqref="B4">
    <cfRule type="expression" dxfId="232" priority="4">
      <formula>AND(B6&gt;1,B4&gt;1)</formula>
    </cfRule>
  </conditionalFormatting>
  <conditionalFormatting sqref="B5">
    <cfRule type="expression" dxfId="231" priority="2">
      <formula>AND(B5&gt;1,B7&gt;1)</formula>
    </cfRule>
  </conditionalFormatting>
  <conditionalFormatting sqref="B6">
    <cfRule type="expression" dxfId="230" priority="3">
      <formula>AND(B6&gt;1,B4&gt;1)</formula>
    </cfRule>
  </conditionalFormatting>
  <conditionalFormatting sqref="B7">
    <cfRule type="expression" dxfId="229" priority="1">
      <formula>AND(B5&gt;1,B7&gt;1)</formula>
    </cfRule>
  </conditionalFormatting>
  <dataValidations count="10">
    <dataValidation type="custom" allowBlank="1" showInputMessage="1" showErrorMessage="1" errorTitle="参数输入错误" error="The input range is 8-1280, and is an integer multiple of 8. When setting skip, the maximum width is 640, and the step value is 8" sqref="B2" xr:uid="{00000000-0002-0000-0500-000000000000}">
      <formula1>AND(MOD(B2,8)=0,B2&gt;=8,B2&lt;=1280/B4)</formula1>
    </dataValidation>
    <dataValidation type="list" allowBlank="1" showInputMessage="1" showErrorMessage="1" errorTitle="参数输入错误" error="Only ON or OFF can be entered " sqref="B17" xr:uid="{00000000-0002-0000-0500-000001000000}">
      <formula1>"on,off"</formula1>
    </dataValidation>
    <dataValidation type="custom" allowBlank="1" showInputMessage="1" showErrorMessage="1" errorTitle="参数输入错误" error="The input range is 4-1024, and is an integer multiple of 4. When skip is set to 2, the maximum value is 512, and the step value is 4_x000a_" sqref="B3" xr:uid="{00000000-0002-0000-0500-000002000000}">
      <formula1>AND(MOD(B3,4)=0,B3&gt;=4,B3&lt;=1024/B5)</formula1>
    </dataValidation>
    <dataValidation type="whole" allowBlank="1" showInputMessage="1" showErrorMessage="1" errorTitle="参数输入错误" error="Input range 8-1000000" sqref="B8" xr:uid="{00000000-0002-0000-0500-000003000000}">
      <formula1>8</formula1>
      <formula2>1000000</formula2>
    </dataValidation>
    <dataValidation type="whole" allowBlank="1" showInputMessage="1" showErrorMessage="1" errorTitle="参数输入错误" error="input range 0-5000" sqref="B9" xr:uid="{00000000-0002-0000-0500-000004000000}">
      <formula1>0</formula1>
      <formula2>5000</formula2>
    </dataValidation>
    <dataValidation type="list" allowBlank="1" showInputMessage="1" showErrorMessage="1" errorTitle="参数输入错误" error="Please enter 8 or 10" sqref="B10" xr:uid="{00000000-0002-0000-0500-000005000000}">
      <formula1>"8,10"</formula1>
    </dataValidation>
    <dataValidation type="custom" allowBlank="1" showInputMessage="1" showErrorMessage="1" errorTitle="参数输入错误" error="In 8bit mode, the range is 35000000-400000000, the step size is 1000000;_x000a_Range 70000000-400000000 in 10bit mode, step size 1000000" sqref="B11" xr:uid="{00000000-0002-0000-0500-000006000000}">
      <formula1>OR(AND(B10=8,B11&gt;=35000000,B11&lt;=400000000,MOD(B11,1000000)=0),AND(B10=10,B11&gt;=70000000,B11&lt;=400000000,MOD(B11,1000000)=0))</formula1>
    </dataValidation>
    <dataValidation type="custom" allowBlank="1" showInputMessage="1" showErrorMessage="1" errorTitle="参数输入错误" error="The input range is 0.5-10000, and the step value is 0.1" sqref="B18" xr:uid="{00000000-0002-0000-0500-000007000000}">
      <formula1>AND(MOD(10*B18,1)=0,B18&gt;=0.5,B18&lt;=10000)</formula1>
    </dataValidation>
    <dataValidation type="list" allowBlank="1" showInputMessage="1" showErrorMessage="1" errorTitle="参数输入错误" error="The value you can enter is 1,2,4" sqref="B4:B5" xr:uid="{00000000-0002-0000-0500-000008000000}">
      <formula1>"1,2,4"</formula1>
    </dataValidation>
    <dataValidation type="list" allowBlank="1" showInputMessage="1" showErrorMessage="1" errorTitle="参数输入错误" error="The value you can enter is 1,2" sqref="B6:B7" xr:uid="{00000000-0002-0000-0500-000009000000}">
      <formula1>"1,2"</formula1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1"/>
  <sheetViews>
    <sheetView workbookViewId="0">
      <selection activeCell="B2" sqref="B2"/>
    </sheetView>
  </sheetViews>
  <sheetFormatPr defaultColWidth="9" defaultRowHeight="15"/>
  <cols>
    <col min="1" max="1" width="36.28515625" customWidth="1"/>
    <col min="2" max="2" width="18.7109375" customWidth="1"/>
    <col min="6" max="8" width="9" hidden="1" customWidth="1"/>
    <col min="9" max="9" width="52.140625" hidden="1" customWidth="1"/>
    <col min="10" max="10" width="43.28515625" hidden="1" customWidth="1"/>
  </cols>
  <sheetData>
    <row r="1" spans="1:10">
      <c r="A1" s="153" t="s">
        <v>165</v>
      </c>
      <c r="B1" s="154"/>
      <c r="F1" s="2"/>
      <c r="G1" s="2"/>
      <c r="H1" s="2"/>
      <c r="I1" s="2"/>
      <c r="J1" s="2"/>
    </row>
    <row r="2" spans="1:10">
      <c r="A2" s="3" t="s">
        <v>166</v>
      </c>
      <c r="B2" s="131">
        <v>1280</v>
      </c>
      <c r="C2" s="5" t="str">
        <f>IF(AND(OR(B6=2,B4=2),B2&gt;640),"The image width range is [4,640]",(IF(OR(B2&gt;1280/B4,B2&lt;4),LOOKUP(B4,F3:F5,I3:I5),IF(OR(B2&gt;1280/B6,B2&lt;4),LOOKUP(B6,F10:F12,I10:I12),""))))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131">
        <v>1024</v>
      </c>
      <c r="C3" s="5" t="str">
        <f>IF(AND(OR(B5=2,B7=2),B3&gt;512),"The image height range is [4,512]",(IF(OR(B3&gt;1024/B5,B3&lt;4),LOOKUP(B5,F3:F5,J3:J5),IF(OR(B3&gt;1024/B7,B3&lt;4),LOOKUP(B7,F10:F12,J10:J12),""))))</f>
        <v/>
      </c>
      <c r="D3" s="2"/>
      <c r="E3" s="2"/>
      <c r="F3" s="2">
        <v>1</v>
      </c>
      <c r="G3" s="2">
        <v>1280</v>
      </c>
      <c r="H3" s="2">
        <v>1024</v>
      </c>
      <c r="I3" s="2" t="s">
        <v>230</v>
      </c>
      <c r="J3" s="2" t="s">
        <v>231</v>
      </c>
    </row>
    <row r="4" spans="1:10">
      <c r="A4" s="6" t="s">
        <v>187</v>
      </c>
      <c r="B4" s="7">
        <v>1</v>
      </c>
      <c r="C4" s="5" t="str">
        <f>IF(AND(B4&gt;1,B6&gt;1),"Horizontal binning and skipping cannot be set greater than 2 at the same time","")</f>
        <v/>
      </c>
      <c r="D4" s="2"/>
      <c r="E4" s="2"/>
      <c r="F4" s="2">
        <v>2</v>
      </c>
      <c r="G4" s="2">
        <v>640</v>
      </c>
      <c r="H4" s="2">
        <v>512</v>
      </c>
      <c r="I4" s="2" t="s">
        <v>232</v>
      </c>
      <c r="J4" s="2" t="s">
        <v>233</v>
      </c>
    </row>
    <row r="5" spans="1:10">
      <c r="A5" s="6" t="s">
        <v>190</v>
      </c>
      <c r="B5" s="7">
        <v>1</v>
      </c>
      <c r="C5" s="5" t="str">
        <f>IF(AND(B5&gt;1,B7&gt;1),"Vertical binning and skipping cannot be set greater than 2 at the same time","")</f>
        <v/>
      </c>
      <c r="D5" s="2"/>
      <c r="E5" s="2"/>
      <c r="F5" s="2">
        <v>4</v>
      </c>
      <c r="G5" s="2">
        <v>320</v>
      </c>
      <c r="H5" s="2">
        <v>256</v>
      </c>
      <c r="I5" s="2" t="s">
        <v>234</v>
      </c>
      <c r="J5" s="2" t="s">
        <v>235</v>
      </c>
    </row>
    <row r="6" spans="1:10">
      <c r="A6" s="6" t="s">
        <v>193</v>
      </c>
      <c r="B6" s="7">
        <v>1</v>
      </c>
      <c r="C6" s="5" t="str">
        <f>IF(AND(B7&lt;&gt;B6),"",(IF(AND(B4&gt;1,B6&gt;1),"Horizontal binning and skipping cannot be set greater than 2 at the same time ","")))</f>
        <v/>
      </c>
      <c r="D6" s="2"/>
      <c r="E6" s="2"/>
      <c r="F6" s="2"/>
      <c r="G6" s="2"/>
      <c r="H6" s="2"/>
      <c r="I6" s="2" t="s">
        <v>226</v>
      </c>
      <c r="J6" s="2"/>
    </row>
    <row r="7" spans="1:10">
      <c r="A7" s="6" t="s">
        <v>195</v>
      </c>
      <c r="B7" s="7">
        <v>1</v>
      </c>
      <c r="C7" s="5" t="str">
        <f>IF(AND(B6&lt;&gt;B7),"",(IF(AND(B5&gt;1,B7&gt;1),"Vertical binning and skipping cannot be set greater than 2 at the same time ","")))</f>
        <v/>
      </c>
      <c r="D7" s="2"/>
      <c r="E7" s="2"/>
      <c r="F7" s="2"/>
      <c r="G7" s="2">
        <v>1280</v>
      </c>
      <c r="H7" s="2">
        <v>1024</v>
      </c>
      <c r="I7" s="2"/>
      <c r="J7" s="2"/>
    </row>
    <row r="8" spans="1:10">
      <c r="A8" s="3" t="s">
        <v>168</v>
      </c>
      <c r="B8" s="131">
        <v>10000</v>
      </c>
      <c r="F8" s="2"/>
      <c r="G8" s="2"/>
      <c r="H8" s="2"/>
      <c r="I8" s="2"/>
      <c r="J8" s="2"/>
    </row>
    <row r="9" spans="1:10">
      <c r="A9" s="3" t="s">
        <v>199</v>
      </c>
      <c r="B9" s="131">
        <v>0</v>
      </c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169</v>
      </c>
      <c r="B10" s="131">
        <v>8</v>
      </c>
      <c r="F10" s="2">
        <v>1</v>
      </c>
      <c r="G10" s="2">
        <v>1280</v>
      </c>
      <c r="H10" s="2">
        <v>1024</v>
      </c>
      <c r="I10" s="2" t="s">
        <v>230</v>
      </c>
      <c r="J10" s="2" t="s">
        <v>231</v>
      </c>
    </row>
    <row r="11" spans="1:10">
      <c r="A11" s="3" t="s">
        <v>170</v>
      </c>
      <c r="B11" s="131">
        <v>300000000</v>
      </c>
      <c r="F11" s="2">
        <v>2</v>
      </c>
      <c r="G11" s="2">
        <v>640</v>
      </c>
      <c r="H11" s="2">
        <v>512</v>
      </c>
      <c r="I11" s="2" t="s">
        <v>232</v>
      </c>
      <c r="J11" s="2" t="s">
        <v>233</v>
      </c>
    </row>
    <row r="12" spans="1:10" hidden="1">
      <c r="A12" s="3"/>
      <c r="B12" s="131"/>
      <c r="F12" s="2">
        <v>4</v>
      </c>
      <c r="G12" s="2">
        <v>320</v>
      </c>
      <c r="H12" s="2">
        <v>256</v>
      </c>
      <c r="I12" s="2" t="s">
        <v>234</v>
      </c>
      <c r="J12" s="2" t="s">
        <v>235</v>
      </c>
    </row>
    <row r="13" spans="1:10" hidden="1">
      <c r="A13" s="3" t="s">
        <v>172</v>
      </c>
      <c r="B13" s="131" t="str">
        <f>IF((B10&lt;=8),"1","2")</f>
        <v>1</v>
      </c>
      <c r="F13" s="2"/>
      <c r="G13" s="2"/>
      <c r="H13" s="2"/>
      <c r="I13" s="2" t="s">
        <v>226</v>
      </c>
      <c r="J13" s="2"/>
    </row>
    <row r="14" spans="1:10" hidden="1">
      <c r="A14" s="3" t="s">
        <v>173</v>
      </c>
      <c r="B14" s="131">
        <f>B2*B3*B13+84</f>
        <v>1310804</v>
      </c>
      <c r="F14" s="2"/>
      <c r="G14" s="2">
        <v>1280</v>
      </c>
      <c r="H14" s="2">
        <v>1024</v>
      </c>
      <c r="I14" s="2"/>
      <c r="J14" s="2"/>
    </row>
    <row r="15" spans="1:10" hidden="1">
      <c r="A15" s="3" t="s">
        <v>174</v>
      </c>
      <c r="B15" s="131">
        <f>IF((B10=8),4.55,1.38*4.55)</f>
        <v>4.55</v>
      </c>
      <c r="F15" s="2"/>
      <c r="G15" s="2"/>
      <c r="H15" s="2"/>
      <c r="I15" s="2"/>
      <c r="J15" s="2"/>
    </row>
    <row r="16" spans="1:10" hidden="1">
      <c r="A16" s="3" t="s">
        <v>175</v>
      </c>
      <c r="B16" s="131">
        <f>IF(B5=1,ROUNDUP((B3*B5+10+ROUNDUP((24-(B3/512)*2),0))*B15,0),ROUNDUP(1054*B15,0))</f>
        <v>4796</v>
      </c>
      <c r="F16" s="2"/>
      <c r="G16" s="2"/>
      <c r="H16" s="2"/>
      <c r="I16" s="2"/>
      <c r="J16" s="2"/>
    </row>
    <row r="17" spans="1:10">
      <c r="A17" s="3" t="s">
        <v>176</v>
      </c>
      <c r="B17" s="131" t="s">
        <v>177</v>
      </c>
      <c r="F17" s="2"/>
      <c r="G17" s="2"/>
      <c r="H17" s="2"/>
      <c r="I17" s="2"/>
      <c r="J17" s="2"/>
    </row>
    <row r="18" spans="1:10">
      <c r="A18" s="3" t="s">
        <v>178</v>
      </c>
      <c r="B18" s="131">
        <v>208.5</v>
      </c>
      <c r="F18" s="2"/>
      <c r="G18" s="2"/>
      <c r="H18" s="2"/>
      <c r="I18" s="2"/>
      <c r="J18" s="2"/>
    </row>
    <row r="19" spans="1:10" hidden="1">
      <c r="A19" s="3" t="s">
        <v>179</v>
      </c>
      <c r="B19" s="132">
        <f>MAX(B14*1000000/B11,B14*1000000/395000000,ROUNDUP((ROUNDUP((B8+B9)/B15,0)+3)*B15,0),B16,B15*(IF(B17="off",0,1))*INT(1000*1000/(B15*B18)))</f>
        <v>10015</v>
      </c>
      <c r="C19" s="5" t="str">
        <f>IF(OR(B3&gt;1024/B5,B3&lt;4,B2&gt;1280/B4,B2&lt;4),I6,IF(OR(B3&gt;1024/B7,B3&lt;4,B2&gt;1280/B6,B2&lt;4),I13,""))</f>
        <v/>
      </c>
      <c r="F19" s="2"/>
      <c r="G19" s="2"/>
      <c r="H19" s="2"/>
      <c r="I19" s="2"/>
      <c r="J19" s="2"/>
    </row>
    <row r="20" spans="1:10">
      <c r="A20" s="159"/>
      <c r="B20" s="160"/>
    </row>
    <row r="21" spans="1:10" ht="22.5">
      <c r="A21" s="133" t="s">
        <v>181</v>
      </c>
      <c r="B21" s="134">
        <f>1000000/B19</f>
        <v>99.850224663005491</v>
      </c>
    </row>
  </sheetData>
  <sheetProtection algorithmName="SHA-512" hashValue="0n0dikYX5lLIZXIbsttPHT4j98uCS9XEccTMcYK3LQKhlsC10xGNb9PYqZ45XMT3LUF/YvwsHZN09PBRspUfVQ==" saltValue="7VWWcJTH6jDO2KabVsA1zA==" spinCount="100000" sheet="1" objects="1" scenarios="1" selectLockedCells="1"/>
  <mergeCells count="2">
    <mergeCell ref="A1:B1"/>
    <mergeCell ref="A20:B20"/>
  </mergeCells>
  <phoneticPr fontId="21" type="noConversion"/>
  <conditionalFormatting sqref="B4">
    <cfRule type="expression" dxfId="228" priority="4">
      <formula>AND(B6&gt;1,B4&gt;1)</formula>
    </cfRule>
  </conditionalFormatting>
  <conditionalFormatting sqref="B5">
    <cfRule type="expression" dxfId="227" priority="2">
      <formula>AND(B5&gt;1,B7&gt;1)</formula>
    </cfRule>
  </conditionalFormatting>
  <conditionalFormatting sqref="B6">
    <cfRule type="expression" dxfId="226" priority="3">
      <formula>AND(B6&gt;1,B4&gt;1)</formula>
    </cfRule>
  </conditionalFormatting>
  <conditionalFormatting sqref="B7">
    <cfRule type="expression" dxfId="225" priority="1">
      <formula>AND(B5&gt;1,B7&gt;1)</formula>
    </cfRule>
  </conditionalFormatting>
  <dataValidations count="10">
    <dataValidation type="custom" allowBlank="1" showInputMessage="1" showErrorMessage="1" errorTitle="参数输入错误" error="The input range is 4-1280, and is an integer multiple of 4. When setting skip, the maximum width is 640, and the step value is 4_x000a__x000a_" sqref="B2" xr:uid="{00000000-0002-0000-0600-000000000000}">
      <formula1>AND(MOD(B2,4)=0,B2&gt;=4,B2&lt;=1280/B6)</formula1>
    </dataValidation>
    <dataValidation type="whole" allowBlank="1" showInputMessage="1" showErrorMessage="1" errorTitle="参数输入错误" error="Input range 20-1000000" sqref="B9" xr:uid="{00000000-0002-0000-0600-000001000000}">
      <formula1>0</formula1>
      <formula2>1000000</formula2>
    </dataValidation>
    <dataValidation type="custom" allowBlank="1" showInputMessage="1" showErrorMessage="1" errorTitle="参数输入错误" error="The input range is 4-1024, and is an integer multiple of 4. When skip is set to 2, the maximum value is 512, and the step value is 4_x000a__x000a_" sqref="B3" xr:uid="{00000000-0002-0000-0600-000002000000}">
      <formula1>AND(MOD(B3,4)=0,B3&gt;=4,B3&lt;=1024/B7)</formula1>
    </dataValidation>
    <dataValidation type="list" allowBlank="1" showInputMessage="1" showErrorMessage="1" errorTitle="参数输入错误" error="仅能输入on或off" sqref="B17" xr:uid="{00000000-0002-0000-0600-000003000000}">
      <formula1>"on,off"</formula1>
    </dataValidation>
    <dataValidation type="whole" allowBlank="1" showInputMessage="1" showErrorMessage="1" errorTitle="参数输入错误" error="Input range 8-15000000" sqref="B8" xr:uid="{00000000-0002-0000-0600-000004000000}">
      <formula1>8</formula1>
      <formula2>1000000</formula2>
    </dataValidation>
    <dataValidation type="list" allowBlank="1" showInputMessage="1" showErrorMessage="1" errorTitle="参数输入错误" error="Please enter 8 or 10" sqref="B10" xr:uid="{00000000-0002-0000-0600-000005000000}">
      <formula1>"8,10"</formula1>
    </dataValidation>
    <dataValidation type="custom" allowBlank="1" showInputMessage="1" showErrorMessage="1" errorTitle="参数输入错误" error="In 8bit mode, the range is 35000000-400000000, the step size is 1000000;_x000a_Range 70000000-400000000 in 10bit mode, step size 1000000" sqref="B11" xr:uid="{00000000-0002-0000-0600-000006000000}">
      <formula1>OR(AND(B10=8,B11&gt;=35000000,B11&lt;=400000000,MOD(B11,1000000)=0),AND(B10=10,B11&gt;=70000000,B11&lt;=400000000,MOD(B11,1000000)=0))</formula1>
    </dataValidation>
    <dataValidation type="custom" allowBlank="1" showInputMessage="1" showErrorMessage="1" errorTitle="参数输入错误" error="The input range is 0.5-10000, and the step value is 0.1" sqref="B18" xr:uid="{00000000-0002-0000-0600-000007000000}">
      <formula1>AND(MOD(10*B18,1)=0,B18&gt;=0.5,B18&lt;=10000)</formula1>
    </dataValidation>
    <dataValidation type="list" allowBlank="1" showInputMessage="1" showErrorMessage="1" errorTitle="参数输入错误" error="可输入的值为1,2,4" sqref="B4:B5" xr:uid="{00000000-0002-0000-0600-000008000000}">
      <formula1>"1,2,4"</formula1>
    </dataValidation>
    <dataValidation type="list" allowBlank="1" showInputMessage="1" showErrorMessage="1" errorTitle="参数输入错误" error="可输入的值为1,2" sqref="B6:B7" xr:uid="{00000000-0002-0000-0600-000009000000}">
      <formula1>"1,2"</formula1>
    </dataValidation>
  </dataValidations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3"/>
  <sheetViews>
    <sheetView workbookViewId="0">
      <selection activeCell="B6" sqref="B6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hidden="1" customWidth="1"/>
  </cols>
  <sheetData>
    <row r="1" spans="1:10">
      <c r="A1" s="153" t="s">
        <v>165</v>
      </c>
      <c r="B1" s="154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1440</v>
      </c>
      <c r="C2" s="5" t="str">
        <f>IF(OR(B4=2,B5=2),IF(B2=720,"","The width must equal to 720"),IF(OR(B2&gt;1440/B6,B2&lt;16),LOOKUP(B6,F3:F5,I3:I5),""))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1080</v>
      </c>
      <c r="C3" s="5" t="str">
        <f>IF(OR(B4=2,B5=2),IF(B3=540,"","The height must equal to 540"),IF(OR(B3&gt;1080/B7,B3&lt;2),LOOKUP(B7,F3:F5,J3:J5),""))</f>
        <v/>
      </c>
      <c r="D3" s="2"/>
      <c r="E3" s="2"/>
      <c r="F3" s="2">
        <v>1</v>
      </c>
      <c r="G3" s="2">
        <v>1440</v>
      </c>
      <c r="H3" s="2">
        <v>1080</v>
      </c>
      <c r="I3" s="2" t="s">
        <v>236</v>
      </c>
      <c r="J3" s="2" t="s">
        <v>237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720</v>
      </c>
      <c r="H4" s="2">
        <v>540</v>
      </c>
      <c r="I4" s="2" t="s">
        <v>239</v>
      </c>
      <c r="J4" s="2" t="s">
        <v>186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360</v>
      </c>
      <c r="H5" s="2">
        <v>270</v>
      </c>
      <c r="I5" s="2" t="s">
        <v>241</v>
      </c>
      <c r="J5" s="2" t="s">
        <v>189</v>
      </c>
    </row>
    <row r="6" spans="1:10">
      <c r="A6" s="6" t="s">
        <v>187</v>
      </c>
      <c r="B6" s="7">
        <v>1</v>
      </c>
      <c r="C6" s="5" t="str">
        <f>IF(AND(B6&gt;1,B4&gt;1),"The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IF(AND(B7&gt;1,B5&gt;1),"The vertical binning and skipping are not set to be greater than 2 at the same time","")</f>
        <v/>
      </c>
      <c r="D7" s="2"/>
      <c r="E7" s="2"/>
      <c r="F7" s="2"/>
      <c r="G7" s="2">
        <v>1440</v>
      </c>
      <c r="H7" s="2">
        <v>1080</v>
      </c>
      <c r="I7" s="2"/>
      <c r="J7" s="2"/>
    </row>
    <row r="8" spans="1:10">
      <c r="A8" s="6" t="s">
        <v>196</v>
      </c>
      <c r="B8" s="7" t="s">
        <v>197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168</v>
      </c>
      <c r="B9" s="7">
        <v>10000</v>
      </c>
      <c r="C9" s="5" t="str">
        <f>IF(AND(B8="UltraShort",B9&gt;100),"exposure time of ultrashort should not be more than 100us!",IF(AND(B8="Standard",B9&lt;20),"exposure time of standard should not be less than 20us!",""))</f>
        <v/>
      </c>
      <c r="D9" s="2"/>
      <c r="E9" s="2"/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169</v>
      </c>
      <c r="B10" s="7">
        <v>8</v>
      </c>
      <c r="C10" s="2"/>
      <c r="D10" s="2"/>
      <c r="E10" s="2"/>
      <c r="F10" s="2">
        <v>1</v>
      </c>
      <c r="G10" s="2">
        <v>1440</v>
      </c>
      <c r="H10" s="2">
        <v>1080</v>
      </c>
      <c r="I10" s="2" t="s">
        <v>242</v>
      </c>
      <c r="J10" s="2" t="s">
        <v>243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2</v>
      </c>
      <c r="G11" s="2">
        <v>720</v>
      </c>
      <c r="H11" s="2">
        <v>540</v>
      </c>
      <c r="I11" s="2" t="s">
        <v>185</v>
      </c>
      <c r="J11" s="2" t="s">
        <v>244</v>
      </c>
    </row>
    <row r="12" spans="1:10" hidden="1">
      <c r="A12" s="3"/>
      <c r="B12" s="7"/>
      <c r="C12" s="2"/>
      <c r="D12" s="2"/>
      <c r="E12" s="2"/>
      <c r="F12" s="2">
        <v>4</v>
      </c>
      <c r="G12" s="2">
        <v>360</v>
      </c>
      <c r="H12" s="2">
        <v>270</v>
      </c>
      <c r="I12" s="2" t="s">
        <v>188</v>
      </c>
      <c r="J12" s="2" t="s">
        <v>245</v>
      </c>
    </row>
    <row r="13" spans="1:10" hidden="1">
      <c r="A13" s="3" t="s">
        <v>171</v>
      </c>
      <c r="B13" s="7">
        <f>IF(B8="Standard",MAX(ROUNDUP((B9-I23)/B16,0),1),IF(B9&gt;14,ROUNDUP((B9-I23),0),1))</f>
        <v>2545</v>
      </c>
      <c r="C13" s="2"/>
      <c r="D13" s="2"/>
      <c r="E13" s="2"/>
      <c r="F13" s="2"/>
      <c r="G13" s="2"/>
      <c r="H13" s="2"/>
      <c r="I13" s="2" t="s">
        <v>194</v>
      </c>
      <c r="J13" s="2"/>
    </row>
    <row r="14" spans="1:10" hidden="1">
      <c r="A14" s="3" t="s">
        <v>172</v>
      </c>
      <c r="B14" s="7" t="str">
        <f>IF((B10&lt;=8),"1","2")</f>
        <v>1</v>
      </c>
      <c r="C14" s="2"/>
      <c r="D14" s="2"/>
      <c r="E14" s="2"/>
      <c r="F14" s="2"/>
      <c r="G14" s="2">
        <v>1440</v>
      </c>
      <c r="H14" s="2">
        <v>1080</v>
      </c>
      <c r="I14" s="2"/>
      <c r="J14" s="2"/>
    </row>
    <row r="15" spans="1:10" hidden="1">
      <c r="A15" s="3" t="s">
        <v>173</v>
      </c>
      <c r="B15" s="7">
        <f>B2*B3*B14+84</f>
        <v>1555284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3" t="s">
        <v>174</v>
      </c>
      <c r="B16" s="7">
        <f>ROUNDUP(IF(B10=8,I17/37.5,2*I17/37.5)*1000,10)/1000</f>
        <v>3.9249999999999998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175</v>
      </c>
      <c r="B17" s="7">
        <f>IF(B8="Standard",(B3*B7+42)*B16,ROUNDUP((B3*B7+42)*B16,0)+10)</f>
        <v>4403.8499999999995</v>
      </c>
      <c r="C17" s="5"/>
      <c r="D17" s="2"/>
      <c r="E17" s="2"/>
      <c r="F17" s="2"/>
      <c r="G17" s="2"/>
      <c r="H17" s="2" t="s">
        <v>210</v>
      </c>
      <c r="I17" s="2">
        <f>IF(B4=2,127.5,147.1875)</f>
        <v>147.1875</v>
      </c>
      <c r="J17" s="2"/>
    </row>
    <row r="18" spans="1:10">
      <c r="A18" s="3" t="s">
        <v>176</v>
      </c>
      <c r="B18" s="7" t="s">
        <v>177</v>
      </c>
      <c r="D18" s="2"/>
      <c r="E18" s="2"/>
      <c r="F18" s="2"/>
      <c r="G18" s="2"/>
      <c r="H18" s="2"/>
      <c r="I18" s="2"/>
      <c r="J18" s="2"/>
    </row>
    <row r="19" spans="1:10">
      <c r="A19" s="3" t="s">
        <v>178</v>
      </c>
      <c r="B19" s="7">
        <v>227.1</v>
      </c>
      <c r="D19" s="2"/>
      <c r="E19" s="2"/>
      <c r="F19" s="2"/>
      <c r="G19" s="2"/>
      <c r="H19" s="2" t="s">
        <v>211</v>
      </c>
      <c r="I19" s="2">
        <f>IF(B8="Standard",ROUNDUP((B13+18)*B16,0),B13+ROUNDUP((B3*B7+42)*B16+10,0)+ROUNDUP(I23,0))</f>
        <v>10060</v>
      </c>
      <c r="J19" s="2"/>
    </row>
    <row r="20" spans="1:10" hidden="1">
      <c r="A20" s="6" t="s">
        <v>179</v>
      </c>
      <c r="B20" s="95">
        <f>MAX(I19,I20,I21,I22)</f>
        <v>10060</v>
      </c>
      <c r="H20" t="s">
        <v>212</v>
      </c>
      <c r="I20" s="2">
        <f>IF(B8="Standard",ROUNDUP((B3*B7+42)*B16,0),ROUNDUP((B3*B7+42)*B16,0)+10)</f>
        <v>4404</v>
      </c>
    </row>
    <row r="21" spans="1:10">
      <c r="A21" s="155" t="s">
        <v>180</v>
      </c>
      <c r="B21" s="156"/>
      <c r="H21" s="2" t="s">
        <v>213</v>
      </c>
      <c r="I21">
        <f>IF(B8="Standard",ROUNDUP(ROUNDUP(B15*1000000/B11/B16,0)*B16,0),ROUNDUP(B15*1000000/B11,0))</f>
        <v>5185</v>
      </c>
    </row>
    <row r="22" spans="1:10" ht="22.5">
      <c r="A22" s="11" t="s">
        <v>181</v>
      </c>
      <c r="B22" s="12">
        <f>1000000/B20</f>
        <v>99.40357852882704</v>
      </c>
      <c r="C22" s="19" t="str">
        <f>IF(OR(B3&gt;1080/B7,B3&lt;2,AND(B3&lt;&gt;540,B5=2),B2&gt;1440/B6,B2&lt;16,AND(B2&lt;&gt;720,B4=2),),I6,"")</f>
        <v/>
      </c>
      <c r="H22" s="2" t="s">
        <v>214</v>
      </c>
      <c r="I22">
        <f>IF(B8="Standard",B16*(IF(B18="off",0,1))*ROUNDUP(1000*1000/(B16*B19),0),(IF(B18="off",0,1))*ROUNDUP(1000*1000/B19,0))</f>
        <v>0</v>
      </c>
    </row>
    <row r="23" spans="1:10">
      <c r="H23" s="2" t="s">
        <v>215</v>
      </c>
      <c r="I23">
        <f>IF(AND(B8="UltraShort",B9&lt;=13),13.31,14.26)</f>
        <v>14.26</v>
      </c>
    </row>
  </sheetData>
  <sheetProtection algorithmName="SHA-512" hashValue="Ct7SakAHrauIhALuGKLqYKGQT+8R7t7gc8ICtNVG5AZgj6viAIqYMcwpdOPpLjqTijWhLLvSNMgvtzZMCivmvg==" saltValue="MhZeg1ujI3Kp5HKZ1duKWw==" spinCount="100000" sheet="1" objects="1" scenarios="1" selectLockedCells="1"/>
  <mergeCells count="2">
    <mergeCell ref="A1:B1"/>
    <mergeCell ref="A21:B21"/>
  </mergeCells>
  <phoneticPr fontId="21" type="noConversion"/>
  <conditionalFormatting sqref="B2">
    <cfRule type="cellIs" dxfId="224" priority="2" operator="notBetween">
      <formula>16</formula>
      <formula>$G$14</formula>
    </cfRule>
    <cfRule type="cellIs" dxfId="223" priority="4" operator="notBetween">
      <formula>16</formula>
      <formula>$G$7</formula>
    </cfRule>
  </conditionalFormatting>
  <conditionalFormatting sqref="B3">
    <cfRule type="cellIs" dxfId="222" priority="1" operator="notBetween">
      <formula>2</formula>
      <formula>$H$7</formula>
    </cfRule>
    <cfRule type="cellIs" dxfId="221" priority="3" operator="notBetween">
      <formula>2</formula>
      <formula>$H$14</formula>
    </cfRule>
  </conditionalFormatting>
  <conditionalFormatting sqref="B6">
    <cfRule type="expression" dxfId="220" priority="5">
      <formula>AND(#REF!&gt;1,B6&gt;1)</formula>
    </cfRule>
  </conditionalFormatting>
  <conditionalFormatting sqref="B7">
    <cfRule type="expression" dxfId="219" priority="6">
      <formula>AND(B7&gt;1,#REF!&gt;1)</formula>
    </cfRule>
  </conditionalFormatting>
  <dataValidations count="11">
    <dataValidation type="custom" allowBlank="1" showInputMessage="1" showErrorMessage="1" errorTitle="Input parameter error" error="Input parameter error,Input range from 16 to 1440,and is an integer multiple of 8" sqref="B2" xr:uid="{00000000-0002-0000-0700-000000000000}">
      <formula1>AND(MOD(B2,8)=0,B2&gt;=16,B2&lt;=1440/B6)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 xr:uid="{00000000-0002-0000-0700-000001000000}">
      <formula1>OR(AND(B8="UltraShort",B9&gt;=1,B9&lt;=100),AND(B8="Standard",B9&gt;=20,B9&lt;=1000000))</formula1>
    </dataValidation>
    <dataValidation type="custom" allowBlank="1" showInputMessage="1" showErrorMessage="1" errorTitle="Input parameter error" error="Input parameter error,Input range from 2 to 1080,and is an integer multiple of 2" sqref="B3" xr:uid="{00000000-0002-0000-0700-000002000000}">
      <formula1>AND(MOD(B3,2)=0,B3&gt;=2,B3&lt;=1080/B7)</formula1>
    </dataValidation>
    <dataValidation type="list" allowBlank="1" showInputMessage="1" showErrorMessage="1" errorTitle="Input parameter error" error="Input 8 or 10" sqref="B10" xr:uid="{00000000-0002-0000-0700-000003000000}">
      <formula1>"8,10"</formula1>
    </dataValidation>
    <dataValidation type="list" allowBlank="1" showInputMessage="1" showErrorMessage="1" errorTitle="Input parameter error" error="Input range is 1,2" sqref="B4" xr:uid="{00000000-0002-0000-0700-000004000000}">
      <formula1>"1,2"</formula1>
    </dataValidation>
    <dataValidation type="list" allowBlank="1" showInputMessage="1" showErrorMessage="1" errorTitle="Input parameter error" error="Input parameter error,Input range from 64 to 2048,and is an integer multiple of 2" sqref="B5" xr:uid="{00000000-0002-0000-0700-000005000000}">
      <formula1>"1,2"</formula1>
    </dataValidation>
    <dataValidation type="list" allowBlank="1" showInputMessage="1" showErrorMessage="1" errorTitle="Input parameter error" error="Input Standard or UltraShort" sqref="B8" xr:uid="{00000000-0002-0000-0700-000006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1" xr:uid="{00000000-0002-0000-0700-000007000000}">
      <formula1>OR(AND(B10=8,B11&gt;=35000000,B11&lt;=400000000,MOD(B11,1000000)=0),AND(B10=10,B11&gt;=70000000,B11&lt;=400000000,MOD(B11,1000000)=0))</formula1>
    </dataValidation>
    <dataValidation type="list" allowBlank="1" showInputMessage="1" showErrorMessage="1" errorTitle="Input parameter error" error="Input on or off" sqref="B18" xr:uid="{00000000-0002-0000-0700-000008000000}">
      <formula1>"on,off"</formula1>
    </dataValidation>
    <dataValidation type="custom" allowBlank="1" showInputMessage="1" showErrorMessage="1" errorTitle="Input parameter error" error="Input range from 0.1 to 10000,step 0.1" sqref="B19" xr:uid="{00000000-0002-0000-0700-000009000000}">
      <formula1>AND(MOD(10*B19,1)=0,B19&gt;=0.1,B19&lt;=10000)</formula1>
    </dataValidation>
    <dataValidation type="list" allowBlank="1" showInputMessage="1" showErrorMessage="1" errorTitle="Input parameter error" error="Input range is 1,2,4" sqref="B6:B7" xr:uid="{00000000-0002-0000-0700-00000A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4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26" hidden="1" customWidth="1"/>
    <col min="7" max="7" width="17.28515625" hidden="1" customWidth="1"/>
    <col min="8" max="8" width="15.140625" hidden="1" customWidth="1"/>
    <col min="9" max="9" width="73.5703125" hidden="1" customWidth="1"/>
    <col min="10" max="10" width="64.85546875" hidden="1" customWidth="1"/>
    <col min="11" max="11" width="9" customWidth="1"/>
  </cols>
  <sheetData>
    <row r="1" spans="1:10">
      <c r="A1" s="153" t="s">
        <v>165</v>
      </c>
      <c r="B1" s="154"/>
      <c r="C1" s="2"/>
      <c r="D1" s="2"/>
      <c r="E1" s="2"/>
      <c r="F1" s="2" t="s">
        <v>246</v>
      </c>
      <c r="G1" s="2" t="s">
        <v>247</v>
      </c>
      <c r="H1" s="2"/>
      <c r="I1" s="2"/>
      <c r="J1" s="2"/>
    </row>
    <row r="2" spans="1:10">
      <c r="A2" s="13" t="s">
        <v>248</v>
      </c>
      <c r="B2" s="7">
        <v>0</v>
      </c>
      <c r="C2" s="5" t="str">
        <f>IF(AND(OR(B5=2,B6=2),B2&lt;&gt;0),"The offsetY must equal to 0",IF(OR(B2&gt;B4,B2+B4&gt;1080),LOOKUP(G2,G2,I2),""))</f>
        <v/>
      </c>
      <c r="D2" s="2"/>
      <c r="E2" s="2"/>
      <c r="F2" s="2"/>
      <c r="G2">
        <f>1080-B4</f>
        <v>0</v>
      </c>
      <c r="H2" s="2"/>
      <c r="I2" s="2" t="s">
        <v>249</v>
      </c>
      <c r="J2" s="2"/>
    </row>
    <row r="3" spans="1:10">
      <c r="A3" s="3" t="s">
        <v>166</v>
      </c>
      <c r="B3" s="4">
        <v>1440</v>
      </c>
      <c r="C3" s="5" t="str">
        <f>IF(AND(OR(B5=2,B6=2),B3&lt;&gt;720),"The width must equal to 720",IF(OR(B3&gt;1440/B7,B3&lt;16),LOOKUP(B7,F4:F6,I4:I6),""))</f>
        <v/>
      </c>
      <c r="D3" s="2"/>
      <c r="E3" s="2"/>
      <c r="F3" s="2" t="s">
        <v>182</v>
      </c>
      <c r="G3" s="2" t="s">
        <v>183</v>
      </c>
      <c r="H3" s="2" t="s">
        <v>184</v>
      </c>
      <c r="I3" s="2"/>
      <c r="J3" s="2"/>
    </row>
    <row r="4" spans="1:10">
      <c r="A4" s="3" t="s">
        <v>167</v>
      </c>
      <c r="B4" s="4">
        <v>1080</v>
      </c>
      <c r="C4" s="5" t="str">
        <f>IF(AND(OR(B5=2,B6=2),B4&lt;&gt;540),"The height must equal to 540",IF(OR(B4&gt;1080/B8,B4&lt;2),LOOKUP(B8,F4:F6,J4:J6),""))</f>
        <v/>
      </c>
      <c r="D4" s="2"/>
      <c r="E4" s="2"/>
      <c r="F4" s="2">
        <v>1</v>
      </c>
      <c r="G4" s="2">
        <v>1440</v>
      </c>
      <c r="H4" s="2">
        <v>1080</v>
      </c>
      <c r="I4" s="2" t="s">
        <v>236</v>
      </c>
      <c r="J4" s="2" t="s">
        <v>250</v>
      </c>
    </row>
    <row r="5" spans="1:10">
      <c r="A5" s="6" t="s">
        <v>238</v>
      </c>
      <c r="B5" s="7">
        <v>1</v>
      </c>
      <c r="C5" s="5"/>
      <c r="D5" s="2"/>
      <c r="E5" s="2"/>
      <c r="F5" s="2">
        <v>2</v>
      </c>
      <c r="G5" s="2">
        <v>720</v>
      </c>
      <c r="H5" s="2">
        <v>540</v>
      </c>
      <c r="I5" s="2" t="s">
        <v>239</v>
      </c>
      <c r="J5" s="2" t="s">
        <v>251</v>
      </c>
    </row>
    <row r="6" spans="1:10">
      <c r="A6" s="6" t="s">
        <v>240</v>
      </c>
      <c r="B6" s="95">
        <f>B5</f>
        <v>1</v>
      </c>
      <c r="C6" s="5"/>
      <c r="D6" s="2"/>
      <c r="E6" s="2"/>
      <c r="F6" s="2">
        <v>4</v>
      </c>
      <c r="G6" s="2">
        <v>360</v>
      </c>
      <c r="H6" s="2">
        <v>270</v>
      </c>
      <c r="I6" s="2" t="s">
        <v>241</v>
      </c>
      <c r="J6" s="2" t="s">
        <v>252</v>
      </c>
    </row>
    <row r="7" spans="1:10">
      <c r="A7" s="6" t="s">
        <v>187</v>
      </c>
      <c r="B7" s="7">
        <v>1</v>
      </c>
      <c r="C7" s="5" t="str">
        <f>IF(AND(B7&gt;1,B5&gt;1),"The binning and skipping levels are not set to be greater than 2 at the same time","")</f>
        <v/>
      </c>
      <c r="D7" s="2"/>
      <c r="E7" s="2"/>
      <c r="F7" s="2"/>
      <c r="G7" s="2"/>
      <c r="H7" s="2"/>
      <c r="I7" s="2" t="s">
        <v>194</v>
      </c>
      <c r="J7" s="2"/>
    </row>
    <row r="8" spans="1:10">
      <c r="A8" s="6" t="s">
        <v>190</v>
      </c>
      <c r="B8" s="7">
        <v>1</v>
      </c>
      <c r="C8" s="5" t="str">
        <f>IF(AND(B8&gt;1,B6&gt;1),"The vertical binning and skipping are not set to be greater than 2 at the same time","")</f>
        <v/>
      </c>
      <c r="D8" s="2"/>
      <c r="E8" s="2"/>
      <c r="F8" s="2"/>
      <c r="G8" s="2">
        <v>1440</v>
      </c>
      <c r="H8" s="2">
        <v>1080</v>
      </c>
      <c r="I8" s="2"/>
      <c r="J8" s="2"/>
    </row>
    <row r="9" spans="1:10">
      <c r="A9" s="6" t="s">
        <v>196</v>
      </c>
      <c r="B9" s="7" t="s">
        <v>197</v>
      </c>
      <c r="C9" s="2"/>
      <c r="D9" s="2"/>
      <c r="E9" s="2"/>
      <c r="F9" s="2"/>
      <c r="G9" s="2"/>
      <c r="H9" s="2"/>
      <c r="I9" s="2"/>
      <c r="J9" s="2"/>
    </row>
    <row r="10" spans="1:10">
      <c r="A10" s="3" t="s">
        <v>168</v>
      </c>
      <c r="B10" s="7">
        <v>10000</v>
      </c>
      <c r="C10" s="5" t="str">
        <f>IF(AND(B9="UltraShort",B10&gt;100),"exposure time of ultrashort should not be more than 100us!",IF(AND(B9="Standard",B10&lt;20),"exposure time of standard should not be less than 20us!",""))</f>
        <v/>
      </c>
      <c r="D10" s="2"/>
      <c r="E10" s="2"/>
      <c r="F10" s="2" t="s">
        <v>198</v>
      </c>
      <c r="G10" s="2" t="s">
        <v>183</v>
      </c>
      <c r="H10" s="2" t="s">
        <v>184</v>
      </c>
      <c r="I10" s="2"/>
      <c r="J10" s="2"/>
    </row>
    <row r="11" spans="1:10">
      <c r="A11" s="28" t="s">
        <v>200</v>
      </c>
      <c r="B11" s="7">
        <v>8</v>
      </c>
      <c r="C11" s="2"/>
      <c r="D11" s="2"/>
      <c r="E11" s="2"/>
      <c r="F11" s="2">
        <v>1</v>
      </c>
      <c r="G11" s="2">
        <v>1440</v>
      </c>
      <c r="H11" s="2">
        <v>1080</v>
      </c>
      <c r="I11" s="2" t="s">
        <v>242</v>
      </c>
      <c r="J11" s="2" t="s">
        <v>253</v>
      </c>
    </row>
    <row r="12" spans="1:10">
      <c r="A12" s="28" t="s">
        <v>201</v>
      </c>
      <c r="B12" s="7" t="s">
        <v>202</v>
      </c>
      <c r="C12" s="5" t="str">
        <f>IF(AND(B11=F26,B12="Bpp12"),I26,IF(AND(B11=F27,B12&lt;&gt;"Bpp10"),I27,IF(AND(B11=F28,B12&lt;&gt;"Bpp12"),I28,"")))</f>
        <v/>
      </c>
      <c r="D12" s="2"/>
      <c r="E12" s="2"/>
      <c r="F12" s="2">
        <v>2</v>
      </c>
      <c r="G12" s="2">
        <v>720</v>
      </c>
      <c r="H12" s="2">
        <v>540</v>
      </c>
      <c r="I12" s="2" t="s">
        <v>185</v>
      </c>
      <c r="J12" s="2" t="s">
        <v>254</v>
      </c>
    </row>
    <row r="13" spans="1:10">
      <c r="A13" s="3" t="s">
        <v>170</v>
      </c>
      <c r="B13" s="7">
        <v>300000000</v>
      </c>
      <c r="C13" s="2"/>
      <c r="D13" s="2"/>
      <c r="E13" s="2"/>
      <c r="F13" s="2">
        <v>4</v>
      </c>
      <c r="G13" s="2">
        <v>360</v>
      </c>
      <c r="H13" s="2">
        <v>270</v>
      </c>
      <c r="I13" s="2" t="s">
        <v>188</v>
      </c>
      <c r="J13" s="2" t="s">
        <v>255</v>
      </c>
    </row>
    <row r="14" spans="1:10" hidden="1">
      <c r="A14" s="3" t="s">
        <v>171</v>
      </c>
      <c r="B14" s="7">
        <f>IF(B9="Standard",MAX(ROUNDUP((B10-I24)/B17,0),1),IF(B10&gt;14,ROUNDUP((B10-I24),0),1))</f>
        <v>3504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idden="1">
      <c r="A15" s="3" t="s">
        <v>172</v>
      </c>
      <c r="B15" s="7" t="str">
        <f>IF((B11&lt;=8),"1","2")</f>
        <v>1</v>
      </c>
      <c r="C15" s="2"/>
      <c r="D15" s="2"/>
      <c r="E15" s="2"/>
      <c r="F15" s="2"/>
      <c r="G15" s="2">
        <v>1440</v>
      </c>
      <c r="H15" s="2">
        <v>1080</v>
      </c>
      <c r="I15" s="2"/>
      <c r="J15" s="2"/>
    </row>
    <row r="16" spans="1:10" hidden="1">
      <c r="A16" s="3" t="s">
        <v>173</v>
      </c>
      <c r="B16" s="7">
        <f>B3*B4*B15+84</f>
        <v>1555284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3" t="s">
        <v>174</v>
      </c>
      <c r="B17" s="7">
        <f>IF(B9="Standard",ROUNDUP(I18/37.5*1000,10)/1000,ROUNDUP(I18/75*1000,10)/1000)</f>
        <v>2.85</v>
      </c>
      <c r="C17" s="2"/>
      <c r="D17" s="2"/>
      <c r="E17" s="2"/>
      <c r="F17" s="2"/>
      <c r="G17" s="2"/>
      <c r="H17" s="2"/>
      <c r="I17" s="2"/>
      <c r="J17" s="2"/>
    </row>
    <row r="18" spans="1:10" ht="15" hidden="1" customHeight="1">
      <c r="A18" s="3" t="s">
        <v>175</v>
      </c>
      <c r="B18" s="7">
        <f>IF(B9="Standard",(H34*B8+42)*B17,ROUNDUP((H34*B8+42)*B17,0)+10)</f>
        <v>3197.7000000000003</v>
      </c>
      <c r="C18" s="5"/>
      <c r="D18" s="2"/>
      <c r="E18" s="2"/>
      <c r="F18" s="2"/>
      <c r="G18" s="2"/>
      <c r="H18" s="2" t="s">
        <v>210</v>
      </c>
      <c r="I18" s="2">
        <f>IF(AND(G30=1,G31=0),219,IF(AND(G30=1,G31=1),255,IF(AND(G30=1,G31=2),510,IF(AND(G30=1,G31=3),804,IF(AND(G30=0,G31=0),231,IF(AND(G30=0,G31=1),240,IF(AND(G30=0,G31=2),480,IF(AND(G30=0,G31=3),804,IF(AND(G30=3,G31=0),109.6875,IF(AND(G30=3,G31=1),127.5,IF(AND(G30=3,G31=2),127.5,IF(AND(G30=3,G31=3),402.1875,IF(AND(G30=2,G31=0),106.875,IF(AND(G30=2,G31=1),120,IF(AND(G30=2,G31=2),240,IF(AND(G30=2,G31=3),402.1875))))))))))))))))</f>
        <v>106.875</v>
      </c>
      <c r="J18" s="2"/>
    </row>
    <row r="19" spans="1:10">
      <c r="A19" s="3" t="s">
        <v>176</v>
      </c>
      <c r="B19" s="7" t="s">
        <v>177</v>
      </c>
      <c r="D19" s="2"/>
      <c r="E19" s="2"/>
      <c r="F19" s="2"/>
      <c r="G19" s="2"/>
      <c r="H19" s="2"/>
      <c r="I19" s="2"/>
      <c r="J19" s="2"/>
    </row>
    <row r="20" spans="1:10">
      <c r="A20" s="3" t="s">
        <v>178</v>
      </c>
      <c r="B20" s="7">
        <v>227</v>
      </c>
      <c r="D20" s="2"/>
      <c r="E20" s="2"/>
      <c r="F20" s="2"/>
      <c r="G20" s="2"/>
      <c r="H20" s="2" t="s">
        <v>211</v>
      </c>
      <c r="I20" s="2">
        <f>IF(B9="Standard",(B14+18)*B17,B14+ROUNDUP((H34*B8+42)*B17+10,0)+ROUNDUP(I24,0))</f>
        <v>10037.700000000001</v>
      </c>
      <c r="J20" s="2">
        <f>ROUNDDOWN(I20/B17,0)</f>
        <v>3522</v>
      </c>
    </row>
    <row r="21" spans="1:10" hidden="1">
      <c r="A21" s="6" t="s">
        <v>179</v>
      </c>
      <c r="B21" s="95">
        <f>MAX(I20,I21,ROUNDUP(J22*B17,3),I23)</f>
        <v>10037.700000000001</v>
      </c>
      <c r="H21" t="s">
        <v>212</v>
      </c>
      <c r="I21" s="2">
        <f>IF(B9="Standard",(H34*B8+42)*B17,ROUNDUP((H34*B8+42)*B17,0)+10)</f>
        <v>3197.7000000000003</v>
      </c>
      <c r="J21" s="2">
        <f>ROUNDDOWN(I21/B17,0)</f>
        <v>1122</v>
      </c>
    </row>
    <row r="22" spans="1:10">
      <c r="A22" s="155" t="s">
        <v>180</v>
      </c>
      <c r="B22" s="156"/>
      <c r="H22" s="2" t="s">
        <v>213</v>
      </c>
      <c r="I22">
        <f>IF(B9="Standard",MAX(B16*1000000/B13,B16*10/3970),ROUNDUP(B16*1000000/B13,0))</f>
        <v>5184.28</v>
      </c>
      <c r="J22" s="2">
        <f>ROUNDUP(I22/B17,0)</f>
        <v>1820</v>
      </c>
    </row>
    <row r="23" spans="1:10" ht="22.5">
      <c r="A23" s="11" t="s">
        <v>181</v>
      </c>
      <c r="B23" s="12">
        <f>1000000/B21</f>
        <v>99.624415951861479</v>
      </c>
      <c r="C23" s="19" t="str">
        <f>IF(OR(B4&gt;1080/B8,B4&lt;2,AND(B4&lt;&gt;540,B6=2),B3&gt;1440/B7,B3&lt;16,AND(B3&lt;&gt;720,B5=2),),I7,"")</f>
        <v/>
      </c>
      <c r="H23" s="2" t="s">
        <v>214</v>
      </c>
      <c r="I23">
        <f>IF(B9="Standard",B17*(IF(B19="off",0,1))*ROUNDUP(1000*1000/(B17*B20),0),(IF(B19="off",0,1))*ROUNDUP(1000*1000/B20,0))</f>
        <v>0</v>
      </c>
      <c r="J23" s="2">
        <f>ROUNDDOWN(I23/B17,0)</f>
        <v>0</v>
      </c>
    </row>
    <row r="24" spans="1:10">
      <c r="H24" s="2" t="s">
        <v>215</v>
      </c>
      <c r="I24">
        <f>IF(AND(B9="UltraShort",B10&lt;=13),13.31,14.26)</f>
        <v>14.26</v>
      </c>
    </row>
    <row r="25" spans="1:10">
      <c r="F25" s="2" t="s">
        <v>203</v>
      </c>
      <c r="G25" s="2" t="s">
        <v>204</v>
      </c>
      <c r="H25" s="2"/>
      <c r="I25" s="2"/>
    </row>
    <row r="26" spans="1:10">
      <c r="F26" s="2">
        <v>8</v>
      </c>
      <c r="G26" s="2" t="s">
        <v>202</v>
      </c>
      <c r="H26" s="2" t="s">
        <v>205</v>
      </c>
      <c r="I26" s="2" t="s">
        <v>206</v>
      </c>
    </row>
    <row r="27" spans="1:10">
      <c r="F27" s="2">
        <v>10</v>
      </c>
      <c r="G27" s="2" t="s">
        <v>205</v>
      </c>
      <c r="H27" s="2"/>
      <c r="I27" s="2" t="s">
        <v>207</v>
      </c>
    </row>
    <row r="28" spans="1:10">
      <c r="F28" s="2">
        <v>12</v>
      </c>
      <c r="G28" s="2" t="s">
        <v>208</v>
      </c>
      <c r="H28" s="2"/>
      <c r="I28" s="2" t="s">
        <v>209</v>
      </c>
    </row>
    <row r="29" spans="1:10">
      <c r="F29" s="81"/>
      <c r="G29" s="81"/>
      <c r="H29" s="81"/>
      <c r="I29" s="81"/>
    </row>
    <row r="30" spans="1:10">
      <c r="F30" s="81" t="s">
        <v>256</v>
      </c>
      <c r="G30" s="81">
        <f>IF(AND(B9="UltraShort",B5=1,B6=1),0,IF(AND(B9="UltraShort",B5=2,B6=2),1,IF(AND(B9="Standard",B5=1,B6=1),2,IF(AND(B9="Standard",B5=2,B6=2),3,0))))</f>
        <v>2</v>
      </c>
      <c r="H30" s="81"/>
      <c r="I30" s="81"/>
    </row>
    <row r="31" spans="1:10">
      <c r="F31" s="79" t="s">
        <v>257</v>
      </c>
      <c r="G31" s="81">
        <f>IF(B11=12,3,IF(B11=10,2,IF(AND(B11=8,B12="BPP8"),0,1)))</f>
        <v>0</v>
      </c>
      <c r="H31" s="81"/>
      <c r="I31" s="81"/>
    </row>
    <row r="33" spans="6:8">
      <c r="F33" t="s">
        <v>258</v>
      </c>
      <c r="G33" t="s">
        <v>259</v>
      </c>
      <c r="H33">
        <f>2*INT(B2/2)</f>
        <v>0</v>
      </c>
    </row>
    <row r="34" spans="6:8">
      <c r="F34" t="s">
        <v>260</v>
      </c>
      <c r="G34" t="s">
        <v>261</v>
      </c>
      <c r="H34">
        <f>IF((MOD(B4,2)=1),B4+1,IF((MOD(B2,2)=1),B4+2,B4))</f>
        <v>1080</v>
      </c>
    </row>
  </sheetData>
  <sheetProtection algorithmName="SHA-512" hashValue="Mw9Ug2GWWacIMo6FTdfaxhwkOjsQ9GuAZmfyOfCzwliO4DNJG/2hAMnPG3uovO5XrInfLwIXmgiVUEaweWfvoA==" saltValue="jfQGyId9/hwPFCKaRT6PvA==" spinCount="100000" sheet="1" objects="1" scenarios="1" selectLockedCells="1"/>
  <mergeCells count="2">
    <mergeCell ref="A1:B1"/>
    <mergeCell ref="A22:B22"/>
  </mergeCells>
  <phoneticPr fontId="21" type="noConversion"/>
  <conditionalFormatting sqref="B3">
    <cfRule type="cellIs" dxfId="218" priority="2" operator="notBetween">
      <formula>16</formula>
      <formula>$G$15</formula>
    </cfRule>
    <cfRule type="cellIs" dxfId="217" priority="4" operator="notBetween">
      <formula>16</formula>
      <formula>$G$8</formula>
    </cfRule>
  </conditionalFormatting>
  <conditionalFormatting sqref="B4">
    <cfRule type="cellIs" dxfId="216" priority="1" operator="notBetween">
      <formula>2</formula>
      <formula>$H$8</formula>
    </cfRule>
    <cfRule type="cellIs" dxfId="215" priority="3" operator="notBetween">
      <formula>2</formula>
      <formula>$H$15</formula>
    </cfRule>
  </conditionalFormatting>
  <conditionalFormatting sqref="B7">
    <cfRule type="expression" dxfId="214" priority="5">
      <formula>AND(#REF!&gt;1,B7&gt;1)</formula>
    </cfRule>
  </conditionalFormatting>
  <conditionalFormatting sqref="B8">
    <cfRule type="expression" dxfId="213" priority="6">
      <formula>AND(B8&gt;1,#REF!&gt;1)</formula>
    </cfRule>
  </conditionalFormatting>
  <dataValidations count="12">
    <dataValidation type="custom" allowBlank="1" showInputMessage="1" showErrorMessage="1" errorTitle="Input parameter error" error="Input parameter error,Input range from 16 to 1440,and is an integer multiple of 8" sqref="B3" xr:uid="{00000000-0002-0000-0800-000000000000}">
      <formula1>AND(MOD(B3,8)=0,B3&gt;=16,B3&lt;=1440/B7)</formula1>
    </dataValidation>
    <dataValidation type="list" allowBlank="1" showInputMessage="1" showErrorMessage="1" errorTitle="Input parameter error" error="Input parameter error,Input range from 64 to 2048,and is an integer multiple of 2" sqref="B6" xr:uid="{00000000-0002-0000-0800-000001000000}">
      <formula1>"1,2"</formula1>
    </dataValidation>
    <dataValidation type="custom" allowBlank="1" showInputMessage="1" showErrorMessage="1" errorTitle="Input parameter error" error="Input parameter error,Input range from 2 to 1080" sqref="B4" xr:uid="{00000000-0002-0000-0800-000002000000}">
      <formula1>AND(B4&gt;=2,B4&lt;=1080/B8)</formula1>
    </dataValidation>
    <dataValidation type="list" allowBlank="1" showInputMessage="1" showErrorMessage="1" errorTitle="Input parameter error" error="Input range is 1,2" sqref="B5" xr:uid="{00000000-0002-0000-0800-000003000000}">
      <formula1>"1,2"</formula1>
    </dataValidation>
    <dataValidation type="list" allowBlank="1" showInputMessage="1" showErrorMessage="1" errorTitle="Input parameter error" error="Input Standard or UltraShort" sqref="B9" xr:uid="{00000000-0002-0000-0800-000004000000}">
      <formula1>"Standard,UltraShort"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0800-000005000000}">
      <formula1>OR(AND(B9="UltraShort",B10&gt;=1,B10&lt;=100),AND(B9="Standard",B10&gt;=20,B10&lt;=1000000))</formula1>
    </dataValidation>
    <dataValidation type="list" allowBlank="1" showInputMessage="1" showErrorMessage="1" errorTitle="Input parameter error" error="Input 8 or 10 or 12" sqref="B11" xr:uid="{00000000-0002-0000-0800-000006000000}">
      <formula1>"8,10,12"</formula1>
    </dataValidation>
    <dataValidation type="list" allowBlank="1" showInputMessage="1" showErrorMessage="1" errorTitle="Input parameter error" error="Input Bpp8 or Bpp10 or Bpp12" sqref="B12" xr:uid="{00000000-0002-0000-0800-000007000000}">
      <formula1>IF($B$11=10,$G$27,IF($B$11=12,$G$28,$G$26:$G$27))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3" xr:uid="{00000000-0002-0000-0800-000008000000}">
      <formula1>OR(AND(B11=8,B13&gt;=35000000,B13&lt;=400000000,MOD(B13,1000000)=0),AND(B11=10,B13&gt;=70000000,B13&lt;=400000000,MOD(B13,1000000)=0),AND(B11=12,B13&gt;=70000000,B13&lt;=400000000,MOD(B13,1000000)=0))</formula1>
    </dataValidation>
    <dataValidation type="list" allowBlank="1" showInputMessage="1" showErrorMessage="1" errorTitle="Input parameter error" error="Input on or off" sqref="B19" xr:uid="{00000000-0002-0000-0800-000009000000}">
      <formula1>"on,off"</formula1>
    </dataValidation>
    <dataValidation type="custom" allowBlank="1" showInputMessage="1" showErrorMessage="1" errorTitle="Input parameter error" error="Input range from 0.1 to 10000,step 0.1" sqref="B20" xr:uid="{00000000-0002-0000-0800-00000A000000}">
      <formula1>AND(MOD(10*B20,1)=0,B20&gt;=0.1,B20&lt;=10000)</formula1>
    </dataValidation>
    <dataValidation type="list" allowBlank="1" showInputMessage="1" showErrorMessage="1" errorTitle="Input parameter error" error="Input range is 1,2,4" sqref="B7:B8" xr:uid="{00000000-0002-0000-0800-00000B000000}">
      <formula1>"1,2,4"</formula1>
    </dataValidation>
  </dataValidations>
  <pageMargins left="0.7" right="0.7" top="0.75" bottom="0.75" header="0.3" footer="0.3"/>
  <pageSetup paperSize="9" orientation="portrait" horizontalDpi="1200" verticalDpi="12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08ABF-E70B-4DBA-8352-1535129FFC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9a8bac-6399-41e0-ae29-be0bac219712"/>
    <ds:schemaRef ds:uri="0e2bac63-7935-4451-9bf4-ebd134ce4d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749BFE-4658-42E6-BA30-6478E1B844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46</vt:i4>
      </vt:variant>
    </vt:vector>
  </HeadingPairs>
  <TitlesOfParts>
    <vt:vector size="46" baseType="lpstr">
      <vt:lpstr>Revision History</vt:lpstr>
      <vt:lpstr>MER2-041-436U3X</vt:lpstr>
      <vt:lpstr>MER2-041-528U3X</vt:lpstr>
      <vt:lpstr>MER2-041-608U3X-HS</vt:lpstr>
      <vt:lpstr>ME2L-042-121U3X</vt:lpstr>
      <vt:lpstr>MER2-135-150U3X</vt:lpstr>
      <vt:lpstr>MER2-135-208U3X</vt:lpstr>
      <vt:lpstr>MER2-160-227U3X</vt:lpstr>
      <vt:lpstr>ME2P-160-227U3X-DS16P</vt:lpstr>
      <vt:lpstr>MER2-160-249U3X-HS</vt:lpstr>
      <vt:lpstr>ME2L-161-61U3X</vt:lpstr>
      <vt:lpstr>ME2L-203-76U3X</vt:lpstr>
      <vt:lpstr>ME2L-204-76U3C-F02</vt:lpstr>
      <vt:lpstr>MER2-230-168U3X</vt:lpstr>
      <vt:lpstr>MER2-231-41U3X</vt:lpstr>
      <vt:lpstr>MER2-240-159U3X</vt:lpstr>
      <vt:lpstr>MER2-301-125U3X</vt:lpstr>
      <vt:lpstr>MER2-301-125U3X-HS</vt:lpstr>
      <vt:lpstr>MER2-302-56U3X</vt:lpstr>
      <vt:lpstr>MER2-303-107U3X</vt:lpstr>
      <vt:lpstr>MER2-304-56U3X</vt:lpstr>
      <vt:lpstr>ME2P-501-79U3X</vt:lpstr>
      <vt:lpstr>MER2-502-79U3X</vt:lpstr>
      <vt:lpstr>MER2-502-79U3X-HS</vt:lpstr>
      <vt:lpstr>MER2-503-36U3X（POL）</vt:lpstr>
      <vt:lpstr>ME2L-505-36U3X</vt:lpstr>
      <vt:lpstr>MER2-510-36U3X</vt:lpstr>
      <vt:lpstr>ME2P-530-72U3X</vt:lpstr>
      <vt:lpstr>ME2P-560-36U3X</vt:lpstr>
      <vt:lpstr>ME2S-560-70U3X</vt:lpstr>
      <vt:lpstr>MER2-630-60U3X(W90)</vt:lpstr>
      <vt:lpstr>ME2L-830-22U3X</vt:lpstr>
      <vt:lpstr>ME2P-900-43U3X</vt:lpstr>
      <vt:lpstr>MER2-1220-32U3X(W90)</vt:lpstr>
      <vt:lpstr>ME2P-1230-23U3X</vt:lpstr>
      <vt:lpstr>ME2P-1230-30U3X-HS</vt:lpstr>
      <vt:lpstr>ME2P-1231-32U3X</vt:lpstr>
      <vt:lpstr>ME2S-1260-28U3X</vt:lpstr>
      <vt:lpstr>ME2P-1400-27U3X-6P</vt:lpstr>
      <vt:lpstr>ME2S-1610-24U3X</vt:lpstr>
      <vt:lpstr>ME2P-1840-21U3X</vt:lpstr>
      <vt:lpstr>MER2-2000-19U3X(W90)</vt:lpstr>
      <vt:lpstr>ME2S-2020-19U3X</vt:lpstr>
      <vt:lpstr>ME2S-2440-16U3X</vt:lpstr>
      <vt:lpstr>ME2P-2621-15U3X</vt:lpstr>
      <vt:lpstr>ME2P-2622-15U3X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Bram Sloot</cp:lastModifiedBy>
  <dcterms:created xsi:type="dcterms:W3CDTF">2006-09-16T00:00:00Z</dcterms:created>
  <dcterms:modified xsi:type="dcterms:W3CDTF">2024-05-16T12:29:33Z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1CECFF12B0B041D49465300CAA88FAB6</vt:lpwstr>
  </property>
  <property fmtid="{D5CDD505-2E9C-101B-9397-08002B2CF9AE}" pid="3" name="KSOProductBuildVer">
    <vt:lpwstr>2052-11.1.0.12358</vt:lpwstr>
  </property>
</Properties>
</file>