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市场宣传部-王珊\0\帧率计算工具\火星系列\"/>
    </mc:Choice>
  </mc:AlternateContent>
  <bookViews>
    <workbookView xWindow="-120" yWindow="-120" windowWidth="29040" windowHeight="15840"/>
  </bookViews>
  <sheets>
    <sheet name="Revision History" sheetId="2" r:id="rId1"/>
    <sheet name="MARS-1231-46G5X-P" sheetId="3" r:id="rId2"/>
  </sheets>
  <definedNames>
    <definedName name="Z_9F73C155_CDDB_4969_BDA6_6B1932D3C988_.wvu.Rows" localSheetId="1" hidden="1">'MARS-1231-46G5X-P'!$36:$54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8" i="3" l="1"/>
  <c r="J87" i="3"/>
  <c r="C72" i="3"/>
  <c r="C15" i="3" s="1"/>
  <c r="C68" i="3"/>
  <c r="C70" i="3" s="1"/>
  <c r="C66" i="3" s="1"/>
  <c r="C65" i="3"/>
  <c r="C69" i="3" s="1"/>
  <c r="C71" i="3" s="1"/>
  <c r="C67" i="3" s="1"/>
  <c r="C64" i="3"/>
  <c r="C61" i="3"/>
  <c r="C3" i="3" s="1"/>
  <c r="C60" i="3"/>
  <c r="C2" i="3" s="1"/>
  <c r="C53" i="3"/>
  <c r="C50" i="3"/>
  <c r="C44" i="3"/>
  <c r="C41" i="3"/>
  <c r="C36" i="3"/>
  <c r="C35" i="3"/>
  <c r="C31" i="3"/>
  <c r="C27" i="3"/>
  <c r="C25" i="3" s="1"/>
  <c r="D14" i="3" l="1"/>
  <c r="J86" i="3"/>
  <c r="C42" i="3"/>
  <c r="C52" i="3" s="1"/>
  <c r="C54" i="3" s="1"/>
  <c r="C22" i="3" s="1"/>
  <c r="D5" i="3"/>
  <c r="J84" i="3"/>
  <c r="J92" i="3"/>
  <c r="D76" i="3" s="1"/>
  <c r="J83" i="3"/>
  <c r="C37" i="3"/>
  <c r="C38" i="3"/>
  <c r="C45" i="3"/>
  <c r="D4" i="3"/>
  <c r="C48" i="3" l="1"/>
  <c r="C49" i="3" s="1"/>
  <c r="C51" i="3" s="1"/>
  <c r="C17" i="3" s="1"/>
  <c r="C43" i="3"/>
  <c r="C39" i="3"/>
  <c r="C46" i="3" l="1"/>
  <c r="C55" i="3" s="1"/>
  <c r="C56" i="3" s="1"/>
  <c r="C57" i="3" s="1"/>
  <c r="C58" i="3" s="1"/>
  <c r="C47" i="3" l="1"/>
  <c r="C76" i="3" s="1"/>
  <c r="D46" i="3"/>
</calcChain>
</file>

<file path=xl/sharedStrings.xml><?xml version="1.0" encoding="utf-8"?>
<sst xmlns="http://schemas.openxmlformats.org/spreadsheetml/2006/main" count="106" uniqueCount="104">
  <si>
    <t>FrameRateCorrect：</t>
    <phoneticPr fontId="2" type="noConversion"/>
  </si>
  <si>
    <t xml:space="preserve">The frame rate calculated by current parameter may be incorrect, please modify paramerters according to prompt. </t>
    <phoneticPr fontId="2" type="noConversion"/>
  </si>
  <si>
    <t>Error information：</t>
    <phoneticPr fontId="2" type="noConversion"/>
  </si>
  <si>
    <t>FPS</t>
    <phoneticPr fontId="2" type="noConversion"/>
  </si>
  <si>
    <t>帧率</t>
  </si>
  <si>
    <t>计算结果：</t>
  </si>
  <si>
    <t>Binning/Skipping后高度</t>
  </si>
  <si>
    <t>Binning/Skipping后宽度</t>
  </si>
  <si>
    <t>根据系数还原高度</t>
  </si>
  <si>
    <t>根据系数还原宽度</t>
  </si>
  <si>
    <t>Binning/Skipping前高度（寄存器）</t>
  </si>
  <si>
    <t>Binning/Skipping前宽度(寄存器)</t>
  </si>
  <si>
    <t>实际生效的垂直系数</t>
  </si>
  <si>
    <t>实际生效的水平系数</t>
  </si>
  <si>
    <t>Binning/Skipping后最大高度</t>
  </si>
  <si>
    <t>Binning/Skipping后最大宽度</t>
  </si>
  <si>
    <t>预估带宽</t>
  </si>
  <si>
    <t>图像传输带宽</t>
  </si>
  <si>
    <t>FrameRate</t>
  </si>
  <si>
    <t>预留带宽范围</t>
  </si>
  <si>
    <t>传输数据最大值</t>
  </si>
  <si>
    <t>带宽数据最大值</t>
  </si>
  <si>
    <t>包间隔范围</t>
  </si>
  <si>
    <t>最大包间隔数据量（对应铜线端）</t>
  </si>
  <si>
    <t>frame_packet_size</t>
  </si>
  <si>
    <t>帧周期</t>
  </si>
  <si>
    <t>采集帧率帧周期</t>
  </si>
  <si>
    <t>以太网有效传输带宽</t>
  </si>
  <si>
    <t>图像传输周期</t>
  </si>
  <si>
    <t>残包大小</t>
  </si>
  <si>
    <t>包个数</t>
  </si>
  <si>
    <t>帧信息</t>
  </si>
  <si>
    <t>曝光帧周期</t>
  </si>
  <si>
    <t>曝光延迟寄存器</t>
  </si>
  <si>
    <t>曝光寄存器</t>
  </si>
  <si>
    <t>ROI帧周期</t>
  </si>
  <si>
    <t>采集帧率设置值</t>
  </si>
  <si>
    <t>包间隔最大值（ns）</t>
  </si>
  <si>
    <t>Leader+Trailler长度</t>
  </si>
  <si>
    <t>包间隔（Byte）</t>
  </si>
  <si>
    <t>ExpIntMin</t>
  </si>
  <si>
    <t>ifg_min</t>
  </si>
  <si>
    <t>toffset</t>
  </si>
  <si>
    <t>hmax</t>
  </si>
  <si>
    <t>VBMin</t>
  </si>
  <si>
    <t>行周期</t>
  </si>
  <si>
    <t>BandwidthReserveMaxValue</t>
  </si>
  <si>
    <t>预留带宽最大值</t>
  </si>
  <si>
    <t>BandwidthReserve</t>
  </si>
  <si>
    <t>预留带宽</t>
  </si>
  <si>
    <t>LinkSpeed(Mbps)</t>
  </si>
  <si>
    <t>网络连接速度</t>
  </si>
  <si>
    <t>GevFramerateAbsEn</t>
  </si>
  <si>
    <t>采集帧率设置使能</t>
  </si>
  <si>
    <t>GevFramerateABS</t>
  </si>
  <si>
    <t>采集帧率值</t>
  </si>
  <si>
    <t>GevSCPDMaxValue(ns)</t>
    <phoneticPr fontId="2" type="noConversion"/>
  </si>
  <si>
    <t>包间隔最大值</t>
  </si>
  <si>
    <t>GevSCPD（ns）</t>
  </si>
  <si>
    <t>包间隔</t>
  </si>
  <si>
    <t>包长</t>
  </si>
  <si>
    <t>PixelFormat(8/10)</t>
  </si>
  <si>
    <t>像素格式</t>
  </si>
  <si>
    <t>ExposureDelay(us)</t>
  </si>
  <si>
    <t>曝光延迟</t>
  </si>
  <si>
    <t>ExposureTime(us)</t>
  </si>
  <si>
    <t>曝光时间</t>
  </si>
  <si>
    <t>垂直像素抽样</t>
  </si>
  <si>
    <t>水平像素抽样</t>
  </si>
  <si>
    <t>BinningVertical</t>
  </si>
  <si>
    <t>垂直像素Binning</t>
  </si>
  <si>
    <t>BinningHorizontal</t>
  </si>
  <si>
    <t>水平像素Binning</t>
  </si>
  <si>
    <t>Height</t>
  </si>
  <si>
    <t>图像高度</t>
  </si>
  <si>
    <t>图像宽度</t>
  </si>
  <si>
    <t>HeightMax</t>
  </si>
  <si>
    <t>图像高度最大值</t>
  </si>
  <si>
    <t>WidthMax</t>
  </si>
  <si>
    <t>图像宽度最大值</t>
  </si>
  <si>
    <t>参数输入：</t>
  </si>
  <si>
    <t>Version</t>
    <phoneticPr fontId="2" type="noConversion"/>
  </si>
  <si>
    <t>Revision</t>
    <phoneticPr fontId="2" type="noConversion"/>
  </si>
  <si>
    <t>Date</t>
    <phoneticPr fontId="2" type="noConversion"/>
  </si>
  <si>
    <t>1.0.0</t>
    <phoneticPr fontId="2" type="noConversion"/>
  </si>
  <si>
    <t>add MARS-1231-46G5X-P</t>
    <phoneticPr fontId="2" type="noConversion"/>
  </si>
  <si>
    <t>1.0.1</t>
    <phoneticPr fontId="2" type="noConversion"/>
  </si>
  <si>
    <t>Modify table protection settings</t>
    <phoneticPr fontId="2" type="noConversion"/>
  </si>
  <si>
    <t>1.0.2</t>
    <phoneticPr fontId="2" type="noConversion"/>
  </si>
  <si>
    <t>GevSCPSPacketSize</t>
    <phoneticPr fontId="2" type="noConversion"/>
  </si>
  <si>
    <t>Modify MARS-1231-46G5X-P GevSCPSPacketSize Setting</t>
    <phoneticPr fontId="2" type="noConversion"/>
  </si>
  <si>
    <t>包长最大值控制</t>
    <phoneticPr fontId="2" type="noConversion"/>
  </si>
  <si>
    <t>包长最大值</t>
    <phoneticPr fontId="2" type="noConversion"/>
  </si>
  <si>
    <t>GevSCPSMaxPacketSize</t>
    <phoneticPr fontId="2" type="noConversion"/>
  </si>
  <si>
    <t>1.0.3</t>
    <phoneticPr fontId="2" type="noConversion"/>
  </si>
  <si>
    <t>add MARS-1231-46G5X-P Decimation</t>
    <phoneticPr fontId="2" type="noConversion"/>
  </si>
  <si>
    <t>Width</t>
  </si>
  <si>
    <t>DecimationHorizontal</t>
    <phoneticPr fontId="2" type="noConversion"/>
  </si>
  <si>
    <t>DecimationVertical</t>
    <phoneticPr fontId="2" type="noConversion"/>
  </si>
  <si>
    <t>水平/垂直抽样</t>
    <phoneticPr fontId="2" type="noConversion"/>
  </si>
  <si>
    <t>DecimationHorizontal/DecimationVertical</t>
    <phoneticPr fontId="2" type="noConversion"/>
  </si>
  <si>
    <t>帧周期（时间us）</t>
    <phoneticPr fontId="2" type="noConversion"/>
  </si>
  <si>
    <t>Decimation后的固定宽度</t>
    <phoneticPr fontId="2" type="noConversion"/>
  </si>
  <si>
    <t>Decimation后的固定高度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</si>
</sst>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rgb="FFFFFF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Protection="1">
      <alignment vertical="center"/>
    </xf>
    <xf numFmtId="0" fontId="5" fillId="0" borderId="0" xfId="0" applyFont="1">
      <alignment vertical="center"/>
    </xf>
    <xf numFmtId="0" fontId="6" fillId="2" borderId="1" xfId="0" applyFont="1" applyFill="1" applyBorder="1" applyProtection="1">
      <alignment vertical="center"/>
      <protection locked="0"/>
    </xf>
    <xf numFmtId="0" fontId="1" fillId="0" borderId="0" xfId="0" applyFont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>
      <alignment vertical="center"/>
    </xf>
    <xf numFmtId="0" fontId="7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9" fillId="2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4" fillId="2" borderId="1" xfId="0" applyFont="1" applyFill="1" applyBorder="1">
      <alignment vertical="center"/>
    </xf>
  </cellXfs>
  <cellStyles count="2">
    <cellStyle name="常规" xfId="0" builtinId="0"/>
    <cellStyle name="常规 2" xfId="1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C6" sqref="C6"/>
    </sheetView>
  </sheetViews>
  <sheetFormatPr defaultRowHeight="13.5" x14ac:dyDescent="0.15"/>
  <cols>
    <col min="1" max="1" width="11.875" customWidth="1"/>
    <col min="2" max="2" width="37.125" customWidth="1"/>
    <col min="3" max="3" width="13.625" customWidth="1"/>
  </cols>
  <sheetData>
    <row r="1" spans="1:3" ht="21" customHeight="1" x14ac:dyDescent="0.15">
      <c r="A1" s="6" t="s">
        <v>81</v>
      </c>
      <c r="B1" s="6" t="s">
        <v>82</v>
      </c>
      <c r="C1" s="6" t="s">
        <v>83</v>
      </c>
    </row>
    <row r="2" spans="1:3" ht="33.75" customHeight="1" x14ac:dyDescent="0.15">
      <c r="A2" s="7" t="s">
        <v>84</v>
      </c>
      <c r="B2" s="7" t="s">
        <v>85</v>
      </c>
      <c r="C2" s="8">
        <v>43771</v>
      </c>
    </row>
    <row r="3" spans="1:3" ht="30.75" customHeight="1" x14ac:dyDescent="0.15">
      <c r="A3" s="7" t="s">
        <v>86</v>
      </c>
      <c r="B3" s="7" t="s">
        <v>87</v>
      </c>
      <c r="C3" s="8">
        <v>43823</v>
      </c>
    </row>
    <row r="4" spans="1:3" ht="49.5" customHeight="1" x14ac:dyDescent="0.15">
      <c r="A4" s="7" t="s">
        <v>88</v>
      </c>
      <c r="B4" s="7" t="s">
        <v>90</v>
      </c>
      <c r="C4" s="8">
        <v>43847</v>
      </c>
    </row>
    <row r="5" spans="1:3" x14ac:dyDescent="0.15">
      <c r="A5" s="7" t="s">
        <v>94</v>
      </c>
      <c r="B5" s="7" t="s">
        <v>95</v>
      </c>
      <c r="C5" s="8">
        <v>43921</v>
      </c>
    </row>
    <row r="6" spans="1:3" x14ac:dyDescent="0.15">
      <c r="B6" s="9"/>
    </row>
    <row r="7" spans="1:3" x14ac:dyDescent="0.15">
      <c r="B7" s="9"/>
    </row>
    <row r="8" spans="1:3" x14ac:dyDescent="0.15">
      <c r="B8" s="9"/>
    </row>
    <row r="9" spans="1:3" x14ac:dyDescent="0.15">
      <c r="B9" s="9"/>
    </row>
    <row r="10" spans="1:3" x14ac:dyDescent="0.15">
      <c r="B10" s="9"/>
    </row>
    <row r="11" spans="1:3" x14ac:dyDescent="0.15">
      <c r="B11" s="9"/>
    </row>
    <row r="14" spans="1:3" x14ac:dyDescent="0.15">
      <c r="B14" s="9"/>
    </row>
    <row r="15" spans="1:3" x14ac:dyDescent="0.15">
      <c r="B15" s="9"/>
    </row>
    <row r="16" spans="1:3" x14ac:dyDescent="0.15">
      <c r="B16" s="9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topLeftCell="B1" zoomScaleNormal="100" workbookViewId="0">
      <selection activeCell="C21" sqref="C21"/>
    </sheetView>
  </sheetViews>
  <sheetFormatPr defaultRowHeight="13.5" x14ac:dyDescent="0.15"/>
  <cols>
    <col min="1" max="1" width="22.375" hidden="1" customWidth="1"/>
    <col min="2" max="2" width="30.875" customWidth="1"/>
    <col min="3" max="3" width="18.625" customWidth="1"/>
    <col min="4" max="4" width="10.5" bestFit="1" customWidth="1"/>
    <col min="9" max="13" width="9" hidden="1" customWidth="1"/>
    <col min="14" max="18" width="9" customWidth="1"/>
  </cols>
  <sheetData>
    <row r="1" spans="1:4" x14ac:dyDescent="0.15">
      <c r="A1" s="10" t="s">
        <v>80</v>
      </c>
      <c r="B1" s="10"/>
      <c r="C1" s="4"/>
    </row>
    <row r="2" spans="1:4" x14ac:dyDescent="0.15">
      <c r="A2" s="10" t="s">
        <v>79</v>
      </c>
      <c r="B2" s="10" t="s">
        <v>78</v>
      </c>
      <c r="C2" s="10">
        <f>C60</f>
        <v>4096</v>
      </c>
    </row>
    <row r="3" spans="1:4" x14ac:dyDescent="0.15">
      <c r="A3" s="10" t="s">
        <v>77</v>
      </c>
      <c r="B3" s="10" t="s">
        <v>76</v>
      </c>
      <c r="C3" s="10">
        <f>C61</f>
        <v>3000</v>
      </c>
    </row>
    <row r="4" spans="1:4" x14ac:dyDescent="0.15">
      <c r="A4" s="10" t="s">
        <v>75</v>
      </c>
      <c r="B4" s="10" t="s">
        <v>96</v>
      </c>
      <c r="C4" s="4">
        <v>4096</v>
      </c>
      <c r="D4" s="5" t="str">
        <f>IF(C10=1, IF(OR(C4&gt;C2,C4&lt;64),J83,""), IF(C4&lt;&gt;C62,J87,""))</f>
        <v/>
      </c>
    </row>
    <row r="5" spans="1:4" x14ac:dyDescent="0.15">
      <c r="A5" s="10" t="s">
        <v>74</v>
      </c>
      <c r="B5" s="10" t="s">
        <v>73</v>
      </c>
      <c r="C5" s="4">
        <v>3000</v>
      </c>
      <c r="D5" s="5" t="str">
        <f>IF(C10=1,IF(OR(C5&gt;C3,C5&lt;64),J84,""),IF(C5&lt;&gt;C63, J88,""))</f>
        <v/>
      </c>
    </row>
    <row r="6" spans="1:4" hidden="1" x14ac:dyDescent="0.15">
      <c r="A6" s="10" t="s">
        <v>72</v>
      </c>
      <c r="B6" s="10" t="s">
        <v>71</v>
      </c>
      <c r="C6" s="4">
        <v>1</v>
      </c>
    </row>
    <row r="7" spans="1:4" hidden="1" x14ac:dyDescent="0.15">
      <c r="A7" s="10" t="s">
        <v>70</v>
      </c>
      <c r="B7" s="10" t="s">
        <v>69</v>
      </c>
      <c r="C7" s="4">
        <v>1</v>
      </c>
    </row>
    <row r="8" spans="1:4" hidden="1" x14ac:dyDescent="0.15">
      <c r="A8" s="10" t="s">
        <v>68</v>
      </c>
      <c r="B8" s="10" t="s">
        <v>97</v>
      </c>
      <c r="C8" s="4">
        <v>1</v>
      </c>
    </row>
    <row r="9" spans="1:4" hidden="1" x14ac:dyDescent="0.15">
      <c r="A9" s="10" t="s">
        <v>67</v>
      </c>
      <c r="B9" s="10" t="s">
        <v>98</v>
      </c>
      <c r="C9" s="4">
        <v>1</v>
      </c>
    </row>
    <row r="10" spans="1:4" ht="27" x14ac:dyDescent="0.15">
      <c r="A10" s="10" t="s">
        <v>99</v>
      </c>
      <c r="B10" s="11" t="s">
        <v>100</v>
      </c>
      <c r="C10" s="4">
        <v>1</v>
      </c>
    </row>
    <row r="11" spans="1:4" x14ac:dyDescent="0.15">
      <c r="A11" s="10" t="s">
        <v>66</v>
      </c>
      <c r="B11" s="10" t="s">
        <v>65</v>
      </c>
      <c r="C11" s="4">
        <v>20000</v>
      </c>
    </row>
    <row r="12" spans="1:4" ht="15.6" hidden="1" customHeight="1" x14ac:dyDescent="0.15">
      <c r="A12" s="10" t="s">
        <v>64</v>
      </c>
      <c r="B12" s="10" t="s">
        <v>63</v>
      </c>
      <c r="C12" s="4">
        <v>0</v>
      </c>
    </row>
    <row r="13" spans="1:4" x14ac:dyDescent="0.15">
      <c r="A13" s="10" t="s">
        <v>62</v>
      </c>
      <c r="B13" s="10" t="s">
        <v>61</v>
      </c>
      <c r="C13" s="4">
        <v>8</v>
      </c>
    </row>
    <row r="14" spans="1:4" x14ac:dyDescent="0.15">
      <c r="A14" s="10" t="s">
        <v>60</v>
      </c>
      <c r="B14" s="10" t="s">
        <v>89</v>
      </c>
      <c r="C14" s="4">
        <v>1500</v>
      </c>
      <c r="D14" s="5" t="str">
        <f>IF(C14 &gt; C15, J86, "")</f>
        <v/>
      </c>
    </row>
    <row r="15" spans="1:4" x14ac:dyDescent="0.15">
      <c r="A15" s="10" t="s">
        <v>92</v>
      </c>
      <c r="B15" s="10" t="s">
        <v>93</v>
      </c>
      <c r="C15" s="10">
        <f>C72</f>
        <v>16384</v>
      </c>
    </row>
    <row r="16" spans="1:4" x14ac:dyDescent="0.15">
      <c r="A16" s="10" t="s">
        <v>59</v>
      </c>
      <c r="B16" s="10" t="s">
        <v>58</v>
      </c>
      <c r="C16" s="4">
        <v>0</v>
      </c>
    </row>
    <row r="17" spans="1:3" x14ac:dyDescent="0.15">
      <c r="A17" s="10" t="s">
        <v>57</v>
      </c>
      <c r="B17" s="10" t="s">
        <v>56</v>
      </c>
      <c r="C17" s="10">
        <f>C51</f>
        <v>1069498</v>
      </c>
    </row>
    <row r="18" spans="1:3" x14ac:dyDescent="0.15">
      <c r="A18" s="10" t="s">
        <v>55</v>
      </c>
      <c r="B18" s="10" t="s">
        <v>54</v>
      </c>
      <c r="C18" s="4">
        <v>46</v>
      </c>
    </row>
    <row r="19" spans="1:3" x14ac:dyDescent="0.15">
      <c r="A19" s="10" t="s">
        <v>53</v>
      </c>
      <c r="B19" s="10" t="s">
        <v>52</v>
      </c>
      <c r="C19" s="4">
        <v>0</v>
      </c>
    </row>
    <row r="20" spans="1:3" x14ac:dyDescent="0.15">
      <c r="A20" s="10" t="s">
        <v>51</v>
      </c>
      <c r="B20" s="10" t="s">
        <v>50</v>
      </c>
      <c r="C20" s="4">
        <v>5000</v>
      </c>
    </row>
    <row r="21" spans="1:3" x14ac:dyDescent="0.15">
      <c r="A21" s="10" t="s">
        <v>49</v>
      </c>
      <c r="B21" s="10" t="s">
        <v>48</v>
      </c>
      <c r="C21" s="4">
        <v>10</v>
      </c>
    </row>
    <row r="22" spans="1:3" x14ac:dyDescent="0.15">
      <c r="A22" s="10" t="s">
        <v>47</v>
      </c>
      <c r="B22" s="10" t="s">
        <v>46</v>
      </c>
      <c r="C22" s="10">
        <f>C54</f>
        <v>99</v>
      </c>
    </row>
    <row r="23" spans="1:3" hidden="1" x14ac:dyDescent="0.15">
      <c r="A23" s="10"/>
      <c r="B23" s="10"/>
      <c r="C23" s="10"/>
    </row>
    <row r="24" spans="1:3" ht="12.75" hidden="1" customHeight="1" x14ac:dyDescent="0.15">
      <c r="A24" s="12"/>
      <c r="B24" s="10"/>
      <c r="C24" s="10"/>
    </row>
    <row r="25" spans="1:3" ht="12.75" hidden="1" customHeight="1" x14ac:dyDescent="0.15">
      <c r="A25" s="13" t="s">
        <v>45</v>
      </c>
      <c r="B25" s="10"/>
      <c r="C25" s="14">
        <f>ROUNDUP(1000000*C27/37500,0)</f>
        <v>6400</v>
      </c>
    </row>
    <row r="26" spans="1:3" ht="12.75" hidden="1" customHeight="1" x14ac:dyDescent="0.15">
      <c r="A26" s="15" t="s">
        <v>44</v>
      </c>
      <c r="B26" s="10"/>
      <c r="C26" s="14">
        <v>54</v>
      </c>
    </row>
    <row r="27" spans="1:3" ht="12.75" hidden="1" customHeight="1" x14ac:dyDescent="0.15">
      <c r="A27" s="15" t="s">
        <v>43</v>
      </c>
      <c r="B27" s="10"/>
      <c r="C27" s="14">
        <f>IF(C13=8,1,2)*IF(C10=1,240,189)</f>
        <v>240</v>
      </c>
    </row>
    <row r="28" spans="1:3" ht="12.75" hidden="1" customHeight="1" x14ac:dyDescent="0.15">
      <c r="A28" s="15" t="s">
        <v>42</v>
      </c>
      <c r="B28" s="10"/>
      <c r="C28" s="14">
        <v>14260</v>
      </c>
    </row>
    <row r="29" spans="1:3" ht="12.75" hidden="1" customHeight="1" x14ac:dyDescent="0.15">
      <c r="A29" s="15" t="s">
        <v>41</v>
      </c>
      <c r="B29" s="10"/>
      <c r="C29" s="14">
        <v>12</v>
      </c>
    </row>
    <row r="30" spans="1:3" ht="12.75" hidden="1" customHeight="1" x14ac:dyDescent="0.15">
      <c r="A30" s="15" t="s">
        <v>40</v>
      </c>
      <c r="B30" s="10"/>
      <c r="C30" s="14">
        <v>24</v>
      </c>
    </row>
    <row r="31" spans="1:3" ht="12.75" hidden="1" customHeight="1" x14ac:dyDescent="0.15">
      <c r="A31" s="15" t="s">
        <v>39</v>
      </c>
      <c r="B31" s="10"/>
      <c r="C31" s="14">
        <f>MAX(ROUNDUP(C16*C20/1000/8,0),C29+8)</f>
        <v>20</v>
      </c>
    </row>
    <row r="32" spans="1:3" ht="12.75" hidden="1" customHeight="1" x14ac:dyDescent="0.15">
      <c r="A32" s="15" t="s">
        <v>38</v>
      </c>
      <c r="B32" s="10"/>
      <c r="C32" s="14">
        <v>170</v>
      </c>
    </row>
    <row r="33" spans="1:4" ht="12.75" hidden="1" customHeight="1" x14ac:dyDescent="0.15">
      <c r="A33" s="15" t="s">
        <v>37</v>
      </c>
      <c r="B33" s="10"/>
      <c r="C33" s="14">
        <v>200000000</v>
      </c>
    </row>
    <row r="34" spans="1:4" ht="12.75" hidden="1" customHeight="1" x14ac:dyDescent="0.15">
      <c r="A34" s="12"/>
      <c r="B34" s="10"/>
      <c r="C34" s="14"/>
    </row>
    <row r="35" spans="1:4" hidden="1" x14ac:dyDescent="0.15">
      <c r="A35" s="12" t="s">
        <v>36</v>
      </c>
      <c r="B35" s="10"/>
      <c r="C35" s="14">
        <f>C18*10</f>
        <v>460</v>
      </c>
    </row>
    <row r="36" spans="1:4" hidden="1" x14ac:dyDescent="0.15">
      <c r="A36" s="16" t="s">
        <v>35</v>
      </c>
      <c r="B36" s="14"/>
      <c r="C36" s="17">
        <f>C5+C26</f>
        <v>3054</v>
      </c>
    </row>
    <row r="37" spans="1:4" hidden="1" x14ac:dyDescent="0.15">
      <c r="A37" s="12" t="s">
        <v>34</v>
      </c>
      <c r="B37" s="14"/>
      <c r="C37" s="14">
        <f>MAX(ROUNDUP(((1000*C11-C28)/C25),0),1)</f>
        <v>3123</v>
      </c>
    </row>
    <row r="38" spans="1:4" hidden="1" x14ac:dyDescent="0.15">
      <c r="A38" s="12" t="s">
        <v>33</v>
      </c>
      <c r="B38" s="14"/>
      <c r="C38" s="14">
        <f>ROUNDUP(C12*1000/C25,0)</f>
        <v>0</v>
      </c>
      <c r="D38" s="3"/>
    </row>
    <row r="39" spans="1:4" hidden="1" x14ac:dyDescent="0.15">
      <c r="A39" s="16" t="s">
        <v>32</v>
      </c>
      <c r="B39" s="14"/>
      <c r="C39" s="17">
        <f>C37+C38+C30</f>
        <v>3147</v>
      </c>
    </row>
    <row r="40" spans="1:4" hidden="1" x14ac:dyDescent="0.15">
      <c r="A40" s="12" t="s">
        <v>31</v>
      </c>
      <c r="B40" s="14"/>
      <c r="C40" s="14">
        <v>0</v>
      </c>
    </row>
    <row r="41" spans="1:4" hidden="1" x14ac:dyDescent="0.15">
      <c r="A41" s="12" t="s">
        <v>30</v>
      </c>
      <c r="B41" s="14"/>
      <c r="C41" s="14">
        <f>ROUNDDOWN((C4*C5*ROUNDUP(C13/8,0)+C40*36)/(C14-36),0)</f>
        <v>8393</v>
      </c>
    </row>
    <row r="42" spans="1:4" hidden="1" x14ac:dyDescent="0.15">
      <c r="A42" s="12" t="s">
        <v>29</v>
      </c>
      <c r="B42" s="14"/>
      <c r="C42" s="14">
        <f>C4*C5*ROUNDUP(C13/8,0)+C40*32-(C14-36)*C41</f>
        <v>648</v>
      </c>
    </row>
    <row r="43" spans="1:4" hidden="1" x14ac:dyDescent="0.15">
      <c r="A43" s="18" t="s">
        <v>28</v>
      </c>
      <c r="B43" s="14"/>
      <c r="C43" s="17">
        <f>ROUNDUP((ROUNDDOWN((((62+(C14-36))*C41+62+C42+(C32-C40*24))+C31*(C41+3)),0)*1000 / C44) * 10 /C25,0)</f>
        <v>3605</v>
      </c>
    </row>
    <row r="44" spans="1:4" hidden="1" x14ac:dyDescent="0.15">
      <c r="A44" s="14" t="s">
        <v>27</v>
      </c>
      <c r="B44" s="14"/>
      <c r="C44" s="14">
        <f>(C20*(100-C21)/80)</f>
        <v>5625</v>
      </c>
    </row>
    <row r="45" spans="1:4" hidden="1" x14ac:dyDescent="0.15">
      <c r="A45" s="18" t="s">
        <v>26</v>
      </c>
      <c r="B45" s="14"/>
      <c r="C45" s="17">
        <f xml:space="preserve"> ROUNDUP((1000000000/C18)/C25,0)</f>
        <v>3397</v>
      </c>
    </row>
    <row r="46" spans="1:4" hidden="1" x14ac:dyDescent="0.15">
      <c r="A46" s="14" t="s">
        <v>25</v>
      </c>
      <c r="B46" s="14"/>
      <c r="C46" s="14">
        <f>IF(C19=1,MAX(C36,C39,C43,C45),MAX(C36,C39,C43))</f>
        <v>3605</v>
      </c>
      <c r="D46" t="str">
        <f>DEC2HEX(C46)</f>
        <v>E15</v>
      </c>
    </row>
    <row r="47" spans="1:4" hidden="1" x14ac:dyDescent="0.15">
      <c r="A47" s="14" t="s">
        <v>4</v>
      </c>
      <c r="B47" s="14"/>
      <c r="C47" s="14">
        <f>1000000/C55</f>
        <v>43.342579750346744</v>
      </c>
    </row>
    <row r="48" spans="1:4" hidden="1" x14ac:dyDescent="0.15">
      <c r="A48" s="14" t="s">
        <v>24</v>
      </c>
      <c r="B48" s="14"/>
      <c r="C48" s="14">
        <f>((62+(C14-36))*C41+62+C42-(C40*24))</f>
        <v>12808428</v>
      </c>
    </row>
    <row r="49" spans="1:3" hidden="1" x14ac:dyDescent="0.15">
      <c r="A49" s="14" t="s">
        <v>23</v>
      </c>
      <c r="B49" s="14"/>
      <c r="C49" s="14">
        <f>ROUNDDOWN((1000000*C44-(C48+C32))/(C41+3),0)</f>
        <v>668436</v>
      </c>
    </row>
    <row r="50" spans="1:3" hidden="1" x14ac:dyDescent="0.15">
      <c r="A50" s="14" t="s">
        <v>20</v>
      </c>
      <c r="B50" s="14"/>
      <c r="C50" s="14">
        <f>12500*C20*(100-C21)</f>
        <v>5625000000</v>
      </c>
    </row>
    <row r="51" spans="1:3" hidden="1" x14ac:dyDescent="0.15">
      <c r="A51" s="14" t="s">
        <v>22</v>
      </c>
      <c r="B51" s="14"/>
      <c r="C51" s="14">
        <f>IF(ROUNDUP(C49*1000*8/C20,0) &lt;= C33, ROUNDUP(C49*1000*8/C20,0), C33)</f>
        <v>1069498</v>
      </c>
    </row>
    <row r="52" spans="1:3" hidden="1" x14ac:dyDescent="0.15">
      <c r="A52" s="14" t="s">
        <v>21</v>
      </c>
      <c r="B52" s="14"/>
      <c r="C52" s="14">
        <f>((62+(C14-36))*C41+62+C42+C32)+C31*(C41+3)</f>
        <v>12976518</v>
      </c>
    </row>
    <row r="53" spans="1:3" hidden="1" x14ac:dyDescent="0.15">
      <c r="A53" s="14" t="s">
        <v>20</v>
      </c>
      <c r="B53" s="14"/>
      <c r="C53" s="14">
        <f>125000*C20</f>
        <v>625000000</v>
      </c>
    </row>
    <row r="54" spans="1:3" hidden="1" x14ac:dyDescent="0.15">
      <c r="A54" s="14" t="s">
        <v>19</v>
      </c>
      <c r="B54" s="14"/>
      <c r="C54" s="14">
        <f>IF((100-ROUNDDOWN(10*C52/(125000*C20),0)-1)&lt;0,0,(100-ROUNDDOWN(10*C52/(125000*C20),0)-1))</f>
        <v>99</v>
      </c>
    </row>
    <row r="55" spans="1:3" hidden="1" x14ac:dyDescent="0.15">
      <c r="A55" s="14" t="s">
        <v>101</v>
      </c>
      <c r="B55" s="14"/>
      <c r="C55" s="14">
        <f>ROUNDDOWN(C46*C25/1000,0)</f>
        <v>23072</v>
      </c>
    </row>
    <row r="56" spans="1:3" hidden="1" x14ac:dyDescent="0.15">
      <c r="A56" s="14" t="s">
        <v>18</v>
      </c>
      <c r="B56" s="14"/>
      <c r="C56" s="14">
        <f>ROUNDDOWN(1000000000 / C55,0)</f>
        <v>43342</v>
      </c>
    </row>
    <row r="57" spans="1:3" hidden="1" x14ac:dyDescent="0.15">
      <c r="A57" s="14" t="s">
        <v>17</v>
      </c>
      <c r="B57" s="14"/>
      <c r="C57" s="14">
        <f>ROUNDDOWN(C4*C56/10*IF(C13=8,1,2)/10*C5/10,0)</f>
        <v>532586496</v>
      </c>
    </row>
    <row r="58" spans="1:3" hidden="1" x14ac:dyDescent="0.15">
      <c r="A58" s="14" t="s">
        <v>16</v>
      </c>
      <c r="B58" s="14"/>
      <c r="C58" s="14">
        <f>ROUNDDOWN((C57*10/(100-C21)*10),)</f>
        <v>591762773</v>
      </c>
    </row>
    <row r="59" spans="1:3" hidden="1" x14ac:dyDescent="0.15">
      <c r="A59" s="14"/>
      <c r="B59" s="14"/>
      <c r="C59" s="14"/>
    </row>
    <row r="60" spans="1:3" hidden="1" x14ac:dyDescent="0.15">
      <c r="A60" s="14" t="s">
        <v>15</v>
      </c>
      <c r="B60" s="14"/>
      <c r="C60" s="14">
        <f>IF(C10=1,4096,C62)</f>
        <v>4096</v>
      </c>
    </row>
    <row r="61" spans="1:3" hidden="1" x14ac:dyDescent="0.15">
      <c r="A61" s="14" t="s">
        <v>14</v>
      </c>
      <c r="B61" s="14"/>
      <c r="C61" s="14">
        <f>IF(C10=1,3000,C63)</f>
        <v>3000</v>
      </c>
    </row>
    <row r="62" spans="1:3" hidden="1" x14ac:dyDescent="0.15">
      <c r="A62" s="14" t="s">
        <v>102</v>
      </c>
      <c r="B62" s="14"/>
      <c r="C62" s="14">
        <v>2048</v>
      </c>
    </row>
    <row r="63" spans="1:3" hidden="1" x14ac:dyDescent="0.15">
      <c r="A63" s="14" t="s">
        <v>103</v>
      </c>
      <c r="B63" s="14"/>
      <c r="C63" s="14">
        <v>1500</v>
      </c>
    </row>
    <row r="64" spans="1:3" hidden="1" x14ac:dyDescent="0.15">
      <c r="A64" s="14" t="s">
        <v>13</v>
      </c>
      <c r="B64" s="14"/>
      <c r="C64" s="14">
        <f>IF(C6=1,C8,C6)</f>
        <v>1</v>
      </c>
    </row>
    <row r="65" spans="1:4" hidden="1" x14ac:dyDescent="0.15">
      <c r="A65" s="14" t="s">
        <v>12</v>
      </c>
      <c r="B65" s="14"/>
      <c r="C65" s="14">
        <f>IF(C7=1,C9,C7)</f>
        <v>1</v>
      </c>
    </row>
    <row r="66" spans="1:4" hidden="1" x14ac:dyDescent="0.15">
      <c r="A66" s="14" t="s">
        <v>11</v>
      </c>
      <c r="B66" s="14"/>
      <c r="C66" s="14">
        <f>ROUNDDOWN(C70/4,0)*4*C64</f>
        <v>4096</v>
      </c>
    </row>
    <row r="67" spans="1:4" hidden="1" x14ac:dyDescent="0.15">
      <c r="A67" s="14" t="s">
        <v>10</v>
      </c>
      <c r="B67" s="14"/>
      <c r="C67" s="14">
        <f>ROUNDDOWN(C71/2,0)*2*C65</f>
        <v>3000</v>
      </c>
    </row>
    <row r="68" spans="1:4" hidden="1" x14ac:dyDescent="0.15">
      <c r="A68" s="14" t="s">
        <v>9</v>
      </c>
      <c r="B68" s="14"/>
      <c r="C68" s="14">
        <f>ROUNDDOWN(C4/4,0)*4*C64</f>
        <v>4096</v>
      </c>
    </row>
    <row r="69" spans="1:4" hidden="1" x14ac:dyDescent="0.15">
      <c r="A69" s="14" t="s">
        <v>8</v>
      </c>
      <c r="B69" s="14"/>
      <c r="C69" s="14">
        <f>ROUNDDOWN(C5/2,0)*2*C65</f>
        <v>3000</v>
      </c>
    </row>
    <row r="70" spans="1:4" hidden="1" x14ac:dyDescent="0.15">
      <c r="A70" s="14" t="s">
        <v>7</v>
      </c>
      <c r="B70" s="14"/>
      <c r="C70" s="14">
        <f>ROUNDDOWN(C68/(4*C64),0)*4</f>
        <v>4096</v>
      </c>
    </row>
    <row r="71" spans="1:4" ht="15" hidden="1" customHeight="1" x14ac:dyDescent="0.15">
      <c r="A71" s="14" t="s">
        <v>6</v>
      </c>
      <c r="B71" s="14"/>
      <c r="C71" s="14">
        <f>ROUNDDOWN(C69/(2*C65),0)*2</f>
        <v>3000</v>
      </c>
    </row>
    <row r="72" spans="1:4" ht="15" hidden="1" customHeight="1" x14ac:dyDescent="0.15">
      <c r="A72" s="14" t="s">
        <v>91</v>
      </c>
      <c r="B72" s="14"/>
      <c r="C72" s="14">
        <f>IF(C20 = 1000,1500,16384)</f>
        <v>16384</v>
      </c>
    </row>
    <row r="73" spans="1:4" ht="15" hidden="1" customHeight="1" x14ac:dyDescent="0.15">
      <c r="A73" s="14"/>
      <c r="B73" s="14"/>
      <c r="C73" s="14"/>
    </row>
    <row r="74" spans="1:4" hidden="1" x14ac:dyDescent="0.15">
      <c r="A74" s="14"/>
      <c r="B74" s="14"/>
      <c r="C74" s="14"/>
    </row>
    <row r="75" spans="1:4" ht="13.5" customHeight="1" x14ac:dyDescent="0.15">
      <c r="A75" s="19" t="s">
        <v>5</v>
      </c>
      <c r="B75" s="19"/>
      <c r="C75" s="19"/>
    </row>
    <row r="76" spans="1:4" ht="14.25" x14ac:dyDescent="0.15">
      <c r="A76" s="19" t="s">
        <v>4</v>
      </c>
      <c r="B76" s="2" t="s">
        <v>3</v>
      </c>
      <c r="C76" s="19">
        <f>ROUND(C47,2)</f>
        <v>43.34</v>
      </c>
      <c r="D76" s="1" t="str">
        <f>IF(J92=1,J85,"")</f>
        <v/>
      </c>
    </row>
    <row r="82" spans="10:10" x14ac:dyDescent="0.15">
      <c r="J82" t="s">
        <v>2</v>
      </c>
    </row>
    <row r="83" spans="10:10" x14ac:dyDescent="0.15">
      <c r="J83" t="str">
        <f>"Current parameter is not in the range. Parameter range: 64~"&amp;C2</f>
        <v>Current parameter is not in the range. Parameter range: 64~4096</v>
      </c>
    </row>
    <row r="84" spans="10:10" x14ac:dyDescent="0.15">
      <c r="J84" t="str">
        <f>"Current parameter is not in the range. Parameter range: 64~"&amp;C3</f>
        <v>Current parameter is not in the range. Parameter range: 64~3000</v>
      </c>
    </row>
    <row r="85" spans="10:10" x14ac:dyDescent="0.15">
      <c r="J85" t="s">
        <v>1</v>
      </c>
    </row>
    <row r="86" spans="10:10" x14ac:dyDescent="0.15">
      <c r="J86" t="str">
        <f>"Current parameter is not in the range. Parameter range: 512~"&amp;C15</f>
        <v>Current parameter is not in the range. Parameter range: 512~16384</v>
      </c>
    </row>
    <row r="87" spans="10:10" x14ac:dyDescent="0.15">
      <c r="J87" t="str">
        <f>"Current parameter is not currect, width must be "&amp;C62&amp;" when 'DecimationHorizontal/DecimationVertical'is not 1"</f>
        <v>Current parameter is not currect, width must be 2048 when 'DecimationHorizontal/DecimationVertical'is not 1</v>
      </c>
    </row>
    <row r="88" spans="10:10" x14ac:dyDescent="0.15">
      <c r="J88" t="str">
        <f>"Current parameter is not currect, width must be "&amp;C63&amp;" when 'DecimationHorizontal/DecimationVertical'is not 1"</f>
        <v>Current parameter is not currect, width must be 1500 when 'DecimationHorizontal/DecimationVertical'is not 1</v>
      </c>
    </row>
    <row r="91" spans="10:10" x14ac:dyDescent="0.15">
      <c r="J91" t="s">
        <v>0</v>
      </c>
    </row>
    <row r="92" spans="10:10" x14ac:dyDescent="0.15">
      <c r="J92">
        <f>IF(OR(OR(C4&gt;C2,C4&lt;64),OR(C5&gt;C3,C5&lt;64), C14&gt;C15),1,0)</f>
        <v>0</v>
      </c>
    </row>
  </sheetData>
  <sheetProtection algorithmName="SHA-512" hashValue="sqz9MZTTc81Cu7YdnIHsQF9wYdpDl06qdsF2xb8s9SgOt21srGKx/sLxwV82QzlcRaGwZwzXdrx56OvURQ4C2g==" saltValue="6DkSPWk77tsVGdk0FSSZIA==" spinCount="100000" sheet="1" objects="1" scenarios="1" selectLockedCells="1"/>
  <phoneticPr fontId="2" type="noConversion"/>
  <conditionalFormatting sqref="C5">
    <cfRule type="cellIs" dxfId="4" priority="4" stopIfTrue="1" operator="lessThan">
      <formula>64</formula>
    </cfRule>
    <cfRule type="cellIs" dxfId="3" priority="5" stopIfTrue="1" operator="greaterThan">
      <formula>$C$3</formula>
    </cfRule>
  </conditionalFormatting>
  <conditionalFormatting sqref="C4">
    <cfRule type="cellIs" dxfId="2" priority="2" operator="lessThan">
      <formula>64</formula>
    </cfRule>
    <cfRule type="cellIs" dxfId="1" priority="3" operator="greaterThan">
      <formula>$C$2</formula>
    </cfRule>
  </conditionalFormatting>
  <conditionalFormatting sqref="C76">
    <cfRule type="expression" dxfId="0" priority="1" stopIfTrue="1">
      <formula>$J$8=1</formula>
    </cfRule>
  </conditionalFormatting>
  <dataValidations count="20">
    <dataValidation type="custom" allowBlank="1" showInputMessage="1" showErrorMessage="1" errorTitle="Input parameter error" error="Input 1 or 2" sqref="C10">
      <formula1>AND(OR((C10=1),(C10=2)), C8=1)</formula1>
    </dataValidation>
    <dataValidation type="custom" allowBlank="1" showInputMessage="1" showErrorMessage="1" errorTitle="Input parameter error" error="Input 5000, 2500 or 1000" sqref="C20">
      <formula1>OR((C20=5000),(C20=2500),(C20=1000))</formula1>
    </dataValidation>
    <dataValidation type="custom" allowBlank="1" showInputMessage="1" showErrorMessage="1" errorTitle="Input parameter error" error="Input range:[512, 'GevSCPSMaxPacketSize'],and is an integer multiple of 4" sqref="C14">
      <formula1>AND((C14&lt;=C15),(C14&gt;=512),(MOD(C14,4)=0))</formula1>
    </dataValidation>
    <dataValidation type="custom" allowBlank="1" showInputMessage="1" showErrorMessage="1" errorTitle="Input parameter error" error="Input 8 or 10" sqref="C13">
      <formula1>OR((C13=8),(C13=10))</formula1>
    </dataValidation>
    <dataValidation type="whole" allowBlank="1" showInputMessage="1" showErrorMessage="1" error="输入范围是[0,5000]，单位为us" sqref="C12">
      <formula1>0</formula1>
      <formula2>5000</formula2>
    </dataValidation>
    <dataValidation type="custom" allowBlank="1" showInputMessage="1" showErrorMessage="1" errorTitle="Input parameter error" error="Input range:[64, 'WidthMax'],and is an integer multiple of 16" sqref="C4">
      <formula1>IF(C10=1, AND((C4&lt;=C2),(C4&gt;=64),(MOD(C4,16)=0)), C2)</formula1>
    </dataValidation>
    <dataValidation type="whole" allowBlank="1" showInputMessage="1" showErrorMessage="1" errorTitle="Input parameter error" error="Input range:[0, 'BandwidthReserveMaxValue'], and is an integer multiple of 1" sqref="C21">
      <formula1>0</formula1>
      <formula2>C22</formula2>
    </dataValidation>
    <dataValidation type="whole" allowBlank="1" showInputMessage="1" showErrorMessage="1" errorTitle="Input parameter error" error="Input range:[0, 'GevSCPDMaxValue'], and is an integer multiple of 1" sqref="C16">
      <formula1>0</formula1>
      <formula2>C17</formula2>
    </dataValidation>
    <dataValidation type="whole" allowBlank="1" error="设置值超过包间隔范围" prompt="设置值应在预留带宽范围内" sqref="C22">
      <formula1>0</formula1>
      <formula2>C54</formula2>
    </dataValidation>
    <dataValidation type="custom" allowBlank="1" showErrorMessage="1" errorTitle="Input parameter error" error="Input range:[0.1, 10000]" prompt="应在包间隔范围内" sqref="C18">
      <formula1>AND(TRUNC(C18,1)=C18,(C18&gt;=0.1),(C18&lt;=10000))</formula1>
    </dataValidation>
    <dataValidation type="whole" allowBlank="1" showInputMessage="1" showErrorMessage="1" errorTitle="Input parameter error" error="Input range:[21, 1000000]" sqref="C11">
      <formula1>21</formula1>
      <formula2>1000000</formula2>
    </dataValidation>
    <dataValidation type="whole" allowBlank="1" showErrorMessage="1" error="设置值超过最大值" prompt="应在包间隔范围内" sqref="C17">
      <formula1>0</formula1>
      <formula2>C51</formula2>
    </dataValidation>
    <dataValidation type="custom" allowBlank="1" showErrorMessage="1" errorTitle="Input parameter error" error="Input 0 or 1" prompt="应在包间隔范围内" sqref="C19">
      <formula1>OR((C19=0),(C19=1))</formula1>
    </dataValidation>
    <dataValidation type="custom" allowBlank="1" showInputMessage="1" showErrorMessage="1" error="输入参数值为1、2或者4，并且当垂直像素Binning不为1时不能输入" sqref="C9">
      <formula1>AND(OR((C9=1),(C9=2),(C9=4)), C7=1)</formula1>
    </dataValidation>
    <dataValidation type="custom" allowBlank="1" showInputMessage="1" showErrorMessage="1" errorTitle="Input parameter error" error="Input range:[64, 'HeightMax'],and is an integer multiple of 2" sqref="C5">
      <formula1>IF(C10=1,AND((C5&lt;=C3),(C5&gt;=64),(MOD(C5,2)=0)),C3)</formula1>
    </dataValidation>
    <dataValidation allowBlank="1" showErrorMessage="1" promptTitle="参数变化" prompt="该参数会根据当前生效的水平像素Binning、水平像素抽样变化" sqref="C2"/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输入参数值为1、2或者4，并且当水平像素抽样不为1时不能输入" sqref="C6">
      <formula1>AND(OR((C6=1),(C6=2),(C6=4)), C8=1)</formula1>
    </dataValidation>
    <dataValidation type="custom" allowBlank="1" showInputMessage="1" showErrorMessage="1" error="输入参数值为1、2或者4，并且当水平像素Binning不为1时不能输入" sqref="C8">
      <formula1>AND(OR((C8=1),(C8=2),(C8=4)), C6=1)</formula1>
    </dataValidation>
    <dataValidation type="custom" allowBlank="1" showInputMessage="1" showErrorMessage="1" error="输入参数值为1、2或者4，并且当垂直像素抽样不为1时不能输入" sqref="C7">
      <formula1>AND(OR((C7=1),(C7=2),(C7=4)), C9=1)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dbbd2ee9c94f3209ede74140058f6039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abba910608cab6dea4bfcf1650324a8f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8C3F91-9261-4385-9F93-B75039762818}"/>
</file>

<file path=customXml/itemProps2.xml><?xml version="1.0" encoding="utf-8"?>
<ds:datastoreItem xmlns:ds="http://schemas.openxmlformats.org/officeDocument/2006/customXml" ds:itemID="{1E6E21C6-5C8D-4F80-898C-E56F2B070C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Revision History</vt:lpstr>
      <vt:lpstr>MARS-1231-46G5X-P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WXR</dc:creator>
  <cp:lastModifiedBy>DH</cp:lastModifiedBy>
  <dcterms:created xsi:type="dcterms:W3CDTF">2019-11-02T06:41:36Z</dcterms:created>
  <dcterms:modified xsi:type="dcterms:W3CDTF">2022-08-26T07:41:04Z</dcterms:modified>
</cp:coreProperties>
</file>