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14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1.xml" ContentType="application/vnd.openxmlformats-officedocument.spreadsheetml.worksheet+xml"/>
  <Override PartName="/xl/worksheets/sheet15.xml" ContentType="application/vnd.openxmlformats-officedocument.spreadsheetml.worksheet+xml"/>
  <Override PartName="/xl/worksheets/sheet13.xml" ContentType="application/vnd.openxmlformats-officedocument.spreadsheetml.worksheet+xml"/>
  <Override PartName="/xl/worksheets/sheet1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workbookProtection workbookPassword="DE11" lockStructure="1"/>
  <bookViews>
    <workbookView xWindow="240" yWindow="105" windowWidth="14805" windowHeight="8010" tabRatio="780"/>
  </bookViews>
  <sheets>
    <sheet name="版本历史" sheetId="3" r:id="rId1"/>
    <sheet name="VEN-042-121U3X" sheetId="12" r:id="rId2"/>
    <sheet name="VEN-134-90U3M-D" sheetId="5" r:id="rId3"/>
    <sheet name="VEN-160-227U3X-FPC" sheetId="13" r:id="rId4"/>
    <sheet name="VEN-161-61U3X" sheetId="4" r:id="rId5"/>
    <sheet name="VEN-302-56U3X-S" sheetId="8" r:id="rId6"/>
    <sheet name="VEN-505-36U3X" sheetId="7" r:id="rId7"/>
    <sheet name="VEN-830-22U3x" sheetId="6" r:id="rId8"/>
    <sheet name="VEN-230-168U3X-FPC" sheetId="9" r:id="rId9"/>
    <sheet name="VE2S-240-159U3X-S" sheetId="15" r:id="rId10"/>
    <sheet name="VEN-301-125U3X-FPC" sheetId="10" r:id="rId11"/>
    <sheet name="VE2S-301-125U3X-S" sheetId="11" r:id="rId12"/>
    <sheet name="VEN-303-107U3X-FPC" sheetId="16" r:id="rId13"/>
    <sheet name="VE2S-501-79U3X-S" sheetId="17" r:id="rId14"/>
    <sheet name="VEN-1220-32U3X-FPC" sheetId="14" r:id="rId15"/>
  </sheets>
  <calcPr calcId="152511"/>
</workbook>
</file>

<file path=xl/calcChain.xml><?xml version="1.0" encoding="utf-8"?>
<calcChain xmlns="http://schemas.openxmlformats.org/spreadsheetml/2006/main">
  <c r="C24" i="17" l="1"/>
  <c r="I23" i="17"/>
  <c r="I20" i="17"/>
  <c r="B20" i="17"/>
  <c r="B19" i="17"/>
  <c r="I22" i="17" s="1"/>
  <c r="I17" i="17"/>
  <c r="B17" i="17"/>
  <c r="B18" i="17" s="1"/>
  <c r="I21" i="17" s="1"/>
  <c r="C11" i="17"/>
  <c r="C7" i="17"/>
  <c r="C6" i="17"/>
  <c r="B5" i="17"/>
  <c r="C3" i="17"/>
  <c r="C2" i="17"/>
  <c r="I26" i="16"/>
  <c r="C24" i="16"/>
  <c r="I20" i="16"/>
  <c r="B18" i="16" s="1"/>
  <c r="B17" i="16"/>
  <c r="I24" i="16" s="1"/>
  <c r="B16" i="16"/>
  <c r="F10" i="16"/>
  <c r="I23" i="16" s="1"/>
  <c r="C10" i="16"/>
  <c r="C6" i="16"/>
  <c r="C5" i="16"/>
  <c r="C4" i="16"/>
  <c r="C3" i="16"/>
  <c r="C2" i="16"/>
  <c r="B16" i="17" l="1"/>
  <c r="I19" i="17" s="1"/>
  <c r="B23" i="17" s="1"/>
  <c r="B25" i="17" s="1"/>
  <c r="I25" i="16"/>
  <c r="B19" i="16"/>
  <c r="B15" i="16"/>
  <c r="I22" i="16" s="1"/>
  <c r="B22" i="16" s="1"/>
  <c r="B24" i="16" s="1"/>
  <c r="B30" i="15"/>
  <c r="B31" i="15" s="1"/>
  <c r="B32" i="15" s="1"/>
  <c r="B28" i="15"/>
  <c r="B27" i="15"/>
  <c r="B23" i="15"/>
  <c r="B24" i="15" s="1"/>
  <c r="B22" i="15"/>
  <c r="B21" i="15"/>
  <c r="B25" i="15" s="1"/>
  <c r="B20" i="15"/>
  <c r="B14" i="15"/>
  <c r="I13" i="15"/>
  <c r="H13" i="15"/>
  <c r="J12" i="15" s="1"/>
  <c r="G13" i="15"/>
  <c r="H12" i="15"/>
  <c r="J11" i="15" s="1"/>
  <c r="G12" i="15"/>
  <c r="I12" i="15" s="1"/>
  <c r="I11" i="15"/>
  <c r="H11" i="15"/>
  <c r="J10" i="15" s="1"/>
  <c r="G11" i="15"/>
  <c r="C7" i="15"/>
  <c r="C6" i="15"/>
  <c r="H5" i="15"/>
  <c r="J5" i="15" s="1"/>
  <c r="G5" i="15"/>
  <c r="I5" i="15" s="1"/>
  <c r="C5" i="15"/>
  <c r="H4" i="15"/>
  <c r="J4" i="15" s="1"/>
  <c r="G4" i="15"/>
  <c r="I4" i="15" s="1"/>
  <c r="C4" i="15"/>
  <c r="J3" i="15"/>
  <c r="I3" i="15"/>
  <c r="H3" i="15"/>
  <c r="G3" i="15"/>
  <c r="C3" i="15"/>
  <c r="C2" i="15"/>
  <c r="B26" i="15" l="1"/>
  <c r="B33" i="15" s="1"/>
  <c r="B35" i="15" s="1"/>
  <c r="C22" i="9"/>
  <c r="I17" i="9"/>
  <c r="B16" i="9"/>
  <c r="I22" i="9" s="1"/>
  <c r="B14" i="9"/>
  <c r="B15" i="9" s="1"/>
  <c r="I21" i="9" s="1"/>
  <c r="B13" i="9"/>
  <c r="I19" i="9" s="1"/>
  <c r="H12" i="9"/>
  <c r="J12" i="9" s="1"/>
  <c r="G12" i="9"/>
  <c r="I12" i="9" s="1"/>
  <c r="H11" i="9"/>
  <c r="J11" i="9" s="1"/>
  <c r="G11" i="9"/>
  <c r="I11" i="9" s="1"/>
  <c r="H10" i="9"/>
  <c r="J10" i="9" s="1"/>
  <c r="G10" i="9"/>
  <c r="I10" i="9" s="1"/>
  <c r="H5" i="9"/>
  <c r="J5" i="9" s="1"/>
  <c r="G5" i="9"/>
  <c r="I5" i="9" s="1"/>
  <c r="C5" i="9"/>
  <c r="H4" i="9"/>
  <c r="J4" i="9" s="1"/>
  <c r="G4" i="9"/>
  <c r="I4" i="9" s="1"/>
  <c r="C4" i="9"/>
  <c r="H3" i="9"/>
  <c r="J3" i="9" s="1"/>
  <c r="G3" i="9"/>
  <c r="I3" i="9" s="1"/>
  <c r="C3" i="9"/>
  <c r="C2" i="9"/>
  <c r="I21" i="8"/>
  <c r="C19" i="8"/>
  <c r="B17" i="8"/>
  <c r="I20" i="8" s="1"/>
  <c r="I16" i="8"/>
  <c r="B15" i="8"/>
  <c r="B16" i="8" s="1"/>
  <c r="I19" i="8" s="1"/>
  <c r="C9" i="8"/>
  <c r="C6" i="8"/>
  <c r="H5" i="8"/>
  <c r="G5" i="8"/>
  <c r="B5" i="8"/>
  <c r="C7" i="8" s="1"/>
  <c r="H4" i="8"/>
  <c r="G4" i="8"/>
  <c r="H3" i="8"/>
  <c r="G3" i="8"/>
  <c r="C3" i="8"/>
  <c r="C2" i="8"/>
  <c r="I20" i="9" l="1"/>
  <c r="B20" i="9" s="1"/>
  <c r="B22" i="9" s="1"/>
  <c r="B17" i="9"/>
  <c r="B18" i="8"/>
  <c r="B14" i="8"/>
  <c r="I17" i="8" s="1"/>
  <c r="B21" i="8" s="1"/>
  <c r="B23" i="8" s="1"/>
  <c r="I18" i="8"/>
  <c r="C22" i="14" l="1"/>
  <c r="N21" i="14"/>
  <c r="B18" i="14"/>
  <c r="B17" i="14"/>
  <c r="B16" i="14"/>
  <c r="N15" i="14"/>
  <c r="N14" i="14"/>
  <c r="N18" i="14" s="1"/>
  <c r="H12" i="14"/>
  <c r="G12" i="14"/>
  <c r="H11" i="14"/>
  <c r="G11" i="14"/>
  <c r="H10" i="14"/>
  <c r="G10" i="14"/>
  <c r="N8" i="14"/>
  <c r="H5" i="14"/>
  <c r="G5" i="14"/>
  <c r="C5" i="14"/>
  <c r="H4" i="14"/>
  <c r="G4" i="14"/>
  <c r="C4" i="14"/>
  <c r="N3" i="14"/>
  <c r="N6" i="14" s="1"/>
  <c r="N17" i="14" s="1"/>
  <c r="N19" i="14" s="1"/>
  <c r="H3" i="14"/>
  <c r="G3" i="14"/>
  <c r="C3" i="14"/>
  <c r="C2" i="14"/>
  <c r="N22" i="14" l="1"/>
  <c r="B20" i="14" s="1"/>
  <c r="N20" i="14"/>
  <c r="I23" i="13"/>
  <c r="I22" i="13"/>
  <c r="C22" i="13"/>
  <c r="I17" i="13"/>
  <c r="B17" i="13"/>
  <c r="B16" i="13"/>
  <c r="I20" i="13" s="1"/>
  <c r="B14" i="13"/>
  <c r="B15" i="13" s="1"/>
  <c r="I21" i="13" s="1"/>
  <c r="B13" i="13"/>
  <c r="I19" i="13" s="1"/>
  <c r="C9" i="13"/>
  <c r="C6" i="13"/>
  <c r="B5" i="13"/>
  <c r="C7" i="13" s="1"/>
  <c r="C3" i="13"/>
  <c r="C2" i="13"/>
  <c r="B19" i="14" l="1"/>
  <c r="B22" i="14"/>
  <c r="B20" i="13"/>
  <c r="B22" i="13" s="1"/>
  <c r="B31" i="12" l="1"/>
  <c r="B30" i="12"/>
  <c r="B8" i="12"/>
  <c r="B9" i="12" s="1"/>
  <c r="B29" i="12" l="1"/>
  <c r="B32" i="12" s="1"/>
  <c r="B10" i="12"/>
  <c r="C23" i="11"/>
  <c r="B11" i="12" l="1"/>
  <c r="B7" i="12"/>
  <c r="B14" i="12" s="1"/>
  <c r="B16" i="12" s="1"/>
  <c r="H28" i="11"/>
  <c r="B15" i="11"/>
  <c r="B16" i="11" s="1"/>
  <c r="C12" i="11"/>
  <c r="C20" i="10" l="1"/>
  <c r="B14" i="10"/>
  <c r="B15" i="10" s="1"/>
  <c r="B12" i="10"/>
  <c r="B13" i="10" s="1"/>
  <c r="B11" i="10"/>
  <c r="I7" i="10"/>
  <c r="H7" i="10"/>
  <c r="I5" i="10"/>
  <c r="H5" i="10"/>
  <c r="I4" i="10"/>
  <c r="H4" i="10"/>
  <c r="I3" i="10"/>
  <c r="H3" i="10"/>
  <c r="C3" i="10"/>
  <c r="C2" i="10"/>
  <c r="B18" i="10" l="1"/>
  <c r="B20" i="10" s="1"/>
  <c r="J21" i="11"/>
  <c r="C9" i="11"/>
  <c r="C6" i="11"/>
  <c r="I5" i="11"/>
  <c r="H5" i="11"/>
  <c r="B5" i="11"/>
  <c r="H27" i="11" s="1"/>
  <c r="I4" i="11"/>
  <c r="H4" i="11"/>
  <c r="I3" i="11"/>
  <c r="H3" i="11"/>
  <c r="C3" i="11"/>
  <c r="C2" i="11"/>
  <c r="J16" i="11" l="1"/>
  <c r="C7" i="11"/>
  <c r="B17" i="11" l="1"/>
  <c r="J20" i="11" s="1"/>
  <c r="B18" i="11" l="1"/>
  <c r="B14" i="11"/>
  <c r="J17" i="11" s="1"/>
  <c r="J18" i="11"/>
  <c r="J19" i="11"/>
  <c r="B21" i="11" l="1"/>
  <c r="B23" i="11" s="1"/>
  <c r="H25" i="7" l="1"/>
  <c r="H23" i="7"/>
  <c r="H19" i="7"/>
  <c r="H15" i="7"/>
  <c r="H20" i="7" s="1"/>
  <c r="B11" i="7"/>
  <c r="H8" i="7"/>
  <c r="H18" i="7" s="1"/>
  <c r="H3" i="7"/>
  <c r="B12" i="7" l="1"/>
  <c r="B13" i="7"/>
  <c r="H27" i="7"/>
  <c r="H6" i="7"/>
  <c r="H17" i="7" s="1"/>
  <c r="H22" i="7" l="1"/>
  <c r="B15" i="7" s="1"/>
  <c r="H21" i="7"/>
  <c r="B17" i="7" l="1"/>
  <c r="B14" i="7"/>
  <c r="H25" i="6" l="1"/>
  <c r="H23" i="6"/>
  <c r="H19" i="6"/>
  <c r="H15" i="6"/>
  <c r="B11" i="6"/>
  <c r="H8" i="6"/>
  <c r="H18" i="6" s="1"/>
  <c r="H3" i="6"/>
  <c r="H20" i="6" l="1"/>
  <c r="B13" i="6"/>
  <c r="B12" i="6"/>
  <c r="H27" i="6"/>
  <c r="H6" i="6"/>
  <c r="H17" i="6" s="1"/>
  <c r="H12" i="5"/>
  <c r="C10" i="5"/>
  <c r="H9" i="5" s="1"/>
  <c r="H5" i="5"/>
  <c r="H7" i="5" s="1"/>
  <c r="H4" i="5"/>
  <c r="C12" i="5" s="1"/>
  <c r="H22" i="6" l="1"/>
  <c r="B15" i="6" s="1"/>
  <c r="H21" i="6"/>
  <c r="H10" i="5"/>
  <c r="H11" i="5"/>
  <c r="C11" i="5"/>
  <c r="H6" i="5"/>
  <c r="H8" i="5" s="1"/>
  <c r="H13" i="5" l="1"/>
  <c r="B17" i="6"/>
  <c r="B14" i="6"/>
  <c r="C14" i="5"/>
  <c r="C16" i="5" s="1"/>
  <c r="C13" i="5" l="1"/>
  <c r="B32" i="4" l="1"/>
  <c r="B31" i="4"/>
  <c r="C9" i="4"/>
  <c r="C10" i="4" s="1"/>
  <c r="B30" i="4" s="1"/>
  <c r="B33" i="4" l="1"/>
  <c r="C11" i="4" s="1"/>
  <c r="C12" i="4" l="1"/>
  <c r="C8" i="4"/>
  <c r="C15" i="4" l="1"/>
  <c r="C17" i="4" s="1"/>
</calcChain>
</file>

<file path=xl/sharedStrings.xml><?xml version="1.0" encoding="utf-8"?>
<sst xmlns="http://schemas.openxmlformats.org/spreadsheetml/2006/main" count="725" uniqueCount="352">
  <si>
    <t>FPS</t>
    <phoneticPr fontId="10" type="noConversion"/>
  </si>
  <si>
    <t>帧率</t>
    <phoneticPr fontId="10" type="noConversion"/>
  </si>
  <si>
    <t>计算结果：</t>
    <phoneticPr fontId="10" type="noConversion"/>
  </si>
  <si>
    <t>Tf</t>
    <phoneticPr fontId="10" type="noConversion"/>
  </si>
  <si>
    <t>帧周期</t>
    <phoneticPr fontId="10" type="noConversion"/>
  </si>
  <si>
    <t>T_acq</t>
    <phoneticPr fontId="10" type="noConversion"/>
  </si>
  <si>
    <t>采集时间</t>
    <phoneticPr fontId="10" type="noConversion"/>
  </si>
  <si>
    <t>Trow</t>
    <phoneticPr fontId="10" type="noConversion"/>
  </si>
  <si>
    <t>行周期</t>
    <phoneticPr fontId="10" type="noConversion"/>
  </si>
  <si>
    <t>ImageSize</t>
    <phoneticPr fontId="10" type="noConversion"/>
  </si>
  <si>
    <t>图像尺寸</t>
    <phoneticPr fontId="10" type="noConversion"/>
  </si>
  <si>
    <t>N</t>
    <phoneticPr fontId="10" type="noConversion"/>
  </si>
  <si>
    <t>像素格式系数</t>
    <phoneticPr fontId="10" type="noConversion"/>
  </si>
  <si>
    <t>AcquisitionFrameRate</t>
  </si>
  <si>
    <t>帧率控制值</t>
    <phoneticPr fontId="10" type="noConversion"/>
  </si>
  <si>
    <t>off</t>
  </si>
  <si>
    <t>AcquisitionFrameRateMode</t>
  </si>
  <si>
    <t>帧率控制</t>
    <phoneticPr fontId="10" type="noConversion"/>
  </si>
  <si>
    <t>DeviceLinkThroughputLimit(Bps)</t>
  </si>
  <si>
    <t>带宽限制值</t>
    <phoneticPr fontId="10" type="noConversion"/>
  </si>
  <si>
    <t>PixelFormat(8/10)</t>
  </si>
  <si>
    <t>像素格式</t>
    <phoneticPr fontId="10" type="noConversion"/>
  </si>
  <si>
    <t>帧率控制帧周期</t>
    <phoneticPr fontId="10" type="noConversion"/>
  </si>
  <si>
    <t>ExposureTime(us)</t>
  </si>
  <si>
    <t>曝光时间</t>
    <phoneticPr fontId="10" type="noConversion"/>
  </si>
  <si>
    <t>带宽限制帧周期</t>
    <phoneticPr fontId="10" type="noConversion"/>
  </si>
  <si>
    <t>最大带宽限制帧周期</t>
    <phoneticPr fontId="10" type="noConversion"/>
  </si>
  <si>
    <t>byte</t>
    <phoneticPr fontId="10" type="noConversion"/>
  </si>
  <si>
    <t>传输图像大小</t>
    <phoneticPr fontId="10" type="noConversion"/>
  </si>
  <si>
    <t>us</t>
    <phoneticPr fontId="10" type="noConversion"/>
  </si>
  <si>
    <t>等效帧周期</t>
    <phoneticPr fontId="10" type="noConversion"/>
  </si>
  <si>
    <t>曝光帧周期</t>
    <phoneticPr fontId="10" type="noConversion"/>
  </si>
  <si>
    <t>ROI帧周期</t>
    <phoneticPr fontId="10" type="noConversion"/>
  </si>
  <si>
    <t>ns</t>
    <phoneticPr fontId="10" type="noConversion"/>
  </si>
  <si>
    <t>黑行周期</t>
    <phoneticPr fontId="10" type="noConversion"/>
  </si>
  <si>
    <t>fot_ss_int</t>
    <phoneticPr fontId="10" type="noConversion"/>
  </si>
  <si>
    <t>fot_ss</t>
    <phoneticPr fontId="10" type="noConversion"/>
  </si>
  <si>
    <t>参数输入:</t>
    <phoneticPr fontId="10" type="noConversion"/>
  </si>
  <si>
    <t>xsm_delay_time</t>
    <phoneticPr fontId="8" type="noConversion"/>
  </si>
  <si>
    <t>clk</t>
    <phoneticPr fontId="8" type="noConversion"/>
  </si>
  <si>
    <t>us</t>
    <phoneticPr fontId="8" type="noConversion"/>
  </si>
  <si>
    <t>图像高度</t>
    <phoneticPr fontId="10" type="noConversion"/>
  </si>
  <si>
    <t>版本历史</t>
    <phoneticPr fontId="8" type="noConversion"/>
  </si>
  <si>
    <t>版本号</t>
    <phoneticPr fontId="8" type="noConversion"/>
  </si>
  <si>
    <t>时间</t>
    <phoneticPr fontId="8" type="noConversion"/>
  </si>
  <si>
    <t>内容</t>
    <phoneticPr fontId="8" type="noConversion"/>
  </si>
  <si>
    <t>v1.00</t>
    <phoneticPr fontId="8" type="noConversion"/>
  </si>
  <si>
    <t>图像宽度</t>
    <phoneticPr fontId="10" type="noConversion"/>
  </si>
  <si>
    <t>v1.01</t>
  </si>
  <si>
    <t>CenterWidth</t>
    <phoneticPr fontId="10" type="noConversion"/>
  </si>
  <si>
    <t>CenterHeight</t>
    <phoneticPr fontId="10" type="noConversion"/>
  </si>
  <si>
    <t>v1.02</t>
  </si>
  <si>
    <t>参数输入：</t>
    <phoneticPr fontId="10" type="noConversion"/>
  </si>
  <si>
    <t>Width</t>
  </si>
  <si>
    <t>xtrig_low</t>
  </si>
  <si>
    <t>N</t>
  </si>
  <si>
    <t>T_acq</t>
  </si>
  <si>
    <t>帧率控制开关</t>
    <phoneticPr fontId="10" type="noConversion"/>
  </si>
  <si>
    <t>v1.03</t>
    <phoneticPr fontId="8" type="noConversion"/>
  </si>
  <si>
    <t>图像宽度</t>
    <phoneticPr fontId="10" type="noConversion"/>
  </si>
  <si>
    <t>Height</t>
    <phoneticPr fontId="8" type="noConversion"/>
  </si>
  <si>
    <t>ExposureTime(us)</t>
    <phoneticPr fontId="8" type="noConversion"/>
  </si>
  <si>
    <t>PixelFormat(8/10)</t>
    <phoneticPr fontId="8" type="noConversion"/>
  </si>
  <si>
    <t>xtrig低电平行数</t>
    <phoneticPr fontId="10" type="noConversion"/>
  </si>
  <si>
    <t>ImageSize</t>
    <phoneticPr fontId="8" type="noConversion"/>
  </si>
  <si>
    <t>Trow</t>
    <phoneticPr fontId="8" type="noConversion"/>
  </si>
  <si>
    <t>带宽限制帧周期（ns）</t>
    <phoneticPr fontId="8" type="noConversion"/>
  </si>
  <si>
    <t>帧率控制帧周期（ns）</t>
    <phoneticPr fontId="8" type="noConversion"/>
  </si>
  <si>
    <t>曝光决定的行周期(inck)</t>
    <phoneticPr fontId="8" type="noConversion"/>
  </si>
  <si>
    <t>带宽限制帧率控制最大行周期(inck)</t>
    <phoneticPr fontId="8" type="noConversion"/>
  </si>
  <si>
    <t>add VEN-134-90U3M-D</t>
    <phoneticPr fontId="8" type="noConversion"/>
  </si>
  <si>
    <t>modify CenterWidth step value to 32</t>
    <phoneticPr fontId="8" type="noConversion"/>
  </si>
  <si>
    <t>Unlocking the width and height of VEN-134-90U4M-D</t>
    <phoneticPr fontId="8" type="noConversion"/>
  </si>
  <si>
    <t>add VEN-161-61U3X</t>
    <phoneticPr fontId="8" type="noConversion"/>
  </si>
  <si>
    <t>Parameter setting：</t>
    <phoneticPr fontId="10" type="noConversion"/>
  </si>
  <si>
    <t>根据demo设置计算出的等效ROI</t>
    <phoneticPr fontId="10" type="noConversion"/>
  </si>
  <si>
    <t>Width_Region</t>
    <phoneticPr fontId="10" type="noConversion"/>
  </si>
  <si>
    <t>Width</t>
    <phoneticPr fontId="10" type="noConversion"/>
  </si>
  <si>
    <t>Height_Region</t>
    <phoneticPr fontId="10" type="noConversion"/>
  </si>
  <si>
    <t>Height</t>
    <phoneticPr fontId="10" type="noConversion"/>
  </si>
  <si>
    <t>sensor实际输出的ROI</t>
    <phoneticPr fontId="10" type="noConversion"/>
  </si>
  <si>
    <t>PixelFormat(8/10)</t>
    <phoneticPr fontId="10" type="noConversion"/>
  </si>
  <si>
    <t>TriggerMode</t>
  </si>
  <si>
    <t>tRow</t>
    <phoneticPr fontId="10" type="noConversion"/>
  </si>
  <si>
    <t>PixelFormat(8/10)</t>
    <phoneticPr fontId="10" type="noConversion"/>
  </si>
  <si>
    <t>Width</t>
    <phoneticPr fontId="10" type="noConversion"/>
  </si>
  <si>
    <t>Height</t>
    <phoneticPr fontId="10" type="noConversion"/>
  </si>
  <si>
    <t>tRow</t>
    <phoneticPr fontId="10" type="noConversion"/>
  </si>
  <si>
    <t>ns</t>
    <phoneticPr fontId="10" type="noConversion"/>
  </si>
  <si>
    <t>tConfig</t>
    <phoneticPr fontId="10" type="noConversion"/>
  </si>
  <si>
    <t>us</t>
    <phoneticPr fontId="10" type="noConversion"/>
  </si>
  <si>
    <t>tXVS2RD</t>
    <phoneticPr fontId="10" type="noConversion"/>
  </si>
  <si>
    <t>N</t>
    <phoneticPr fontId="10" type="noConversion"/>
  </si>
  <si>
    <t>tXVS2CPP</t>
    <phoneticPr fontId="10" type="noConversion"/>
  </si>
  <si>
    <t>tolerance_line</t>
    <phoneticPr fontId="10" type="noConversion"/>
  </si>
  <si>
    <t>Trow</t>
    <phoneticPr fontId="10" type="noConversion"/>
  </si>
  <si>
    <t>Vbmin</t>
    <phoneticPr fontId="10" type="noConversion"/>
  </si>
  <si>
    <t>SHS1_MIN</t>
    <phoneticPr fontId="10" type="noConversion"/>
  </si>
  <si>
    <t>tRow</t>
    <phoneticPr fontId="10" type="noConversion"/>
  </si>
  <si>
    <t>Tf</t>
    <phoneticPr fontId="10" type="noConversion"/>
  </si>
  <si>
    <t>transfer_size</t>
    <phoneticPr fontId="10" type="noConversion"/>
  </si>
  <si>
    <t>Byte</t>
    <phoneticPr fontId="10" type="noConversion"/>
  </si>
  <si>
    <t>Calculation result:</t>
    <phoneticPr fontId="10" type="noConversion"/>
  </si>
  <si>
    <t>FPS</t>
    <phoneticPr fontId="10" type="noConversion"/>
  </si>
  <si>
    <t>tFrame_ROI</t>
    <phoneticPr fontId="10" type="noConversion"/>
  </si>
  <si>
    <t>tFrame_Exp</t>
    <phoneticPr fontId="10" type="noConversion"/>
  </si>
  <si>
    <t>tFrame_Rate</t>
    <phoneticPr fontId="10" type="noConversion"/>
  </si>
  <si>
    <t>tFrame_limit</t>
    <phoneticPr fontId="10" type="noConversion"/>
  </si>
  <si>
    <t>tFrame_tri</t>
    <phoneticPr fontId="10" type="noConversion"/>
  </si>
  <si>
    <t>tFrame_Final</t>
    <phoneticPr fontId="10" type="noConversion"/>
  </si>
  <si>
    <t>ns</t>
    <phoneticPr fontId="10" type="noConversion"/>
  </si>
  <si>
    <t>tFrame_tri_ns</t>
    <phoneticPr fontId="8" type="noConversion"/>
  </si>
  <si>
    <t>ns</t>
    <phoneticPr fontId="8" type="noConversion"/>
  </si>
  <si>
    <t>tRow_min</t>
    <phoneticPr fontId="8" type="noConversion"/>
  </si>
  <si>
    <t>height_max</t>
    <phoneticPr fontId="8" type="noConversion"/>
  </si>
  <si>
    <t>tFrame_tri_ns_sel</t>
    <phoneticPr fontId="8" type="noConversion"/>
  </si>
  <si>
    <t>-</t>
    <phoneticPr fontId="8" type="noConversion"/>
  </si>
  <si>
    <t>v1.04</t>
  </si>
  <si>
    <t>add ME2L-505-36U3X and ME2L-830-22U3x</t>
    <phoneticPr fontId="8" type="noConversion"/>
  </si>
  <si>
    <t>Parameter setting：</t>
    <phoneticPr fontId="10" type="noConversion"/>
  </si>
  <si>
    <t>Height</t>
    <phoneticPr fontId="10" type="noConversion"/>
  </si>
  <si>
    <t>tConfig</t>
    <phoneticPr fontId="10" type="noConversion"/>
  </si>
  <si>
    <t>us</t>
    <phoneticPr fontId="10" type="noConversion"/>
  </si>
  <si>
    <t>tXVS2RD</t>
    <phoneticPr fontId="10" type="noConversion"/>
  </si>
  <si>
    <t>tRow</t>
    <phoneticPr fontId="10" type="noConversion"/>
  </si>
  <si>
    <t>N</t>
    <phoneticPr fontId="10" type="noConversion"/>
  </si>
  <si>
    <t>tXVS2CPP</t>
    <phoneticPr fontId="10" type="noConversion"/>
  </si>
  <si>
    <t>tRow</t>
    <phoneticPr fontId="10" type="noConversion"/>
  </si>
  <si>
    <t>ImageSize</t>
    <phoneticPr fontId="10" type="noConversion"/>
  </si>
  <si>
    <t>tolerance_line</t>
    <phoneticPr fontId="10" type="noConversion"/>
  </si>
  <si>
    <t>Trow</t>
    <phoneticPr fontId="10" type="noConversion"/>
  </si>
  <si>
    <t>Vbmin</t>
    <phoneticPr fontId="10" type="noConversion"/>
  </si>
  <si>
    <t>T_acq</t>
    <phoneticPr fontId="10" type="noConversion"/>
  </si>
  <si>
    <t>SHS1_MIN</t>
    <phoneticPr fontId="10" type="noConversion"/>
  </si>
  <si>
    <t>Tf</t>
    <phoneticPr fontId="10" type="noConversion"/>
  </si>
  <si>
    <t>transfer_size</t>
    <phoneticPr fontId="10" type="noConversion"/>
  </si>
  <si>
    <t>Byte</t>
    <phoneticPr fontId="10" type="noConversion"/>
  </si>
  <si>
    <t>Calculation result:</t>
    <phoneticPr fontId="10" type="noConversion"/>
  </si>
  <si>
    <t>FPS</t>
    <phoneticPr fontId="10" type="noConversion"/>
  </si>
  <si>
    <t>tFrame_ROI</t>
    <phoneticPr fontId="10" type="noConversion"/>
  </si>
  <si>
    <t>tFrame_Exp</t>
    <phoneticPr fontId="10" type="noConversion"/>
  </si>
  <si>
    <t>tFrame_Rate</t>
    <phoneticPr fontId="10" type="noConversion"/>
  </si>
  <si>
    <t>tFrame_limit</t>
    <phoneticPr fontId="10" type="noConversion"/>
  </si>
  <si>
    <t>tFrame_tri</t>
    <phoneticPr fontId="10" type="noConversion"/>
  </si>
  <si>
    <t>tFrame_Final</t>
    <phoneticPr fontId="10" type="noConversion"/>
  </si>
  <si>
    <t>ns</t>
    <phoneticPr fontId="10" type="noConversion"/>
  </si>
  <si>
    <t>tFrame_tri_ns</t>
    <phoneticPr fontId="8" type="noConversion"/>
  </si>
  <si>
    <t>tRow_min</t>
    <phoneticPr fontId="8" type="noConversion"/>
  </si>
  <si>
    <t>height_max</t>
    <phoneticPr fontId="8" type="noConversion"/>
  </si>
  <si>
    <t>tFrame_tri_ns_sel</t>
    <phoneticPr fontId="8" type="noConversion"/>
  </si>
  <si>
    <t>-</t>
    <phoneticPr fontId="8" type="noConversion"/>
  </si>
  <si>
    <t>v1.05</t>
  </si>
  <si>
    <t>Parameter setting：</t>
  </si>
  <si>
    <t>binning系数</t>
  </si>
  <si>
    <t>最大宽度</t>
  </si>
  <si>
    <t>最大高度</t>
  </si>
  <si>
    <t>Height</t>
  </si>
  <si>
    <t>BinningHorizontal</t>
  </si>
  <si>
    <t>BinningVertical</t>
  </si>
  <si>
    <t>Input parameter error，please input parameter according to message</t>
  </si>
  <si>
    <t>ImageSize</t>
  </si>
  <si>
    <t>Trow</t>
  </si>
  <si>
    <t>Tf</t>
  </si>
  <si>
    <t>Calculation result:</t>
  </si>
  <si>
    <t>FPS</t>
  </si>
  <si>
    <t>add VEN-302-56U3X-S</t>
    <phoneticPr fontId="8" type="noConversion"/>
  </si>
  <si>
    <t>v1.06</t>
    <phoneticPr fontId="8" type="noConversion"/>
  </si>
  <si>
    <t>v1.07</t>
    <phoneticPr fontId="8" type="noConversion"/>
  </si>
  <si>
    <t>Change the frame blanking of the VEN-505-36U3 camera to 48</t>
    <phoneticPr fontId="8" type="noConversion"/>
  </si>
  <si>
    <t>Change the PixelFormat of the  VEN-302-56U3X-S camera to 8</t>
    <phoneticPr fontId="8" type="noConversion"/>
  </si>
  <si>
    <t>v1.08</t>
  </si>
  <si>
    <t>Change the minimum row height of VEN-161-61U3x to 4</t>
  </si>
  <si>
    <t>v1.09</t>
  </si>
  <si>
    <t>v1.10</t>
    <phoneticPr fontId="8" type="noConversion"/>
  </si>
  <si>
    <t>DeviceLinkThroughputLimit(Bps)</t>
    <phoneticPr fontId="8" type="noConversion"/>
  </si>
  <si>
    <t>delete DeviceLinkThroughputLimit(Bps)</t>
    <phoneticPr fontId="8" type="noConversion"/>
  </si>
  <si>
    <t>ExposureTimeMode</t>
    <phoneticPr fontId="8" type="noConversion"/>
  </si>
  <si>
    <t>Standard</t>
  </si>
  <si>
    <t>tOFFSET</t>
    <phoneticPr fontId="8" type="noConversion"/>
  </si>
  <si>
    <t>Input range from 16 to 2048,and is an integer multiple of 8</t>
    <phoneticPr fontId="8" type="noConversion"/>
  </si>
  <si>
    <t>Input range from 2 to 1536,and is an integer multiple of 2</t>
    <phoneticPr fontId="8" type="noConversion"/>
  </si>
  <si>
    <t>SensorDecimationHorizontal</t>
    <phoneticPr fontId="8" type="noConversion"/>
  </si>
  <si>
    <t>Input range from 16 to 1024,and is an integer multiple of 8</t>
    <phoneticPr fontId="8" type="noConversion"/>
  </si>
  <si>
    <t>Input range from 2 to 768,and is an integer multiple of 2</t>
    <phoneticPr fontId="8" type="noConversion"/>
  </si>
  <si>
    <t>SensorDecimationVertical</t>
    <phoneticPr fontId="8" type="noConversion"/>
  </si>
  <si>
    <t>Input range from 16 to 512,and is an integer multiple of 8</t>
    <phoneticPr fontId="8" type="noConversion"/>
  </si>
  <si>
    <t>Input range from 2 to 384,and is an integer multiple of 2</t>
    <phoneticPr fontId="8" type="noConversion"/>
  </si>
  <si>
    <t>Input parameter error，please input parameter according to message</t>
    <phoneticPr fontId="8" type="noConversion"/>
  </si>
  <si>
    <t>skipping系数</t>
    <phoneticPr fontId="10" type="noConversion"/>
  </si>
  <si>
    <t>最大宽度</t>
    <phoneticPr fontId="10" type="noConversion"/>
  </si>
  <si>
    <t>最大高度</t>
    <phoneticPr fontId="10" type="noConversion"/>
  </si>
  <si>
    <t>ExposureDelayTime(us)</t>
    <phoneticPr fontId="8" type="noConversion"/>
  </si>
  <si>
    <t>Input range from 16 to 2048,and is an integer multiple of 8</t>
    <phoneticPr fontId="10" type="noConversion"/>
  </si>
  <si>
    <t>Input range from 2 to 1536,and is an integer multiple of 2</t>
    <phoneticPr fontId="10" type="noConversion"/>
  </si>
  <si>
    <t>The width must equal to 1024</t>
    <phoneticPr fontId="10" type="noConversion"/>
  </si>
  <si>
    <t>The height must equal to 768</t>
    <phoneticPr fontId="10" type="noConversion"/>
  </si>
  <si>
    <t>Input parameter error，please input parameter according to message</t>
    <phoneticPr fontId="10" type="noConversion"/>
  </si>
  <si>
    <t>hmax</t>
    <phoneticPr fontId="8" type="noConversion"/>
  </si>
  <si>
    <t>曝光时间帧周期</t>
    <phoneticPr fontId="8" type="noConversion"/>
  </si>
  <si>
    <t>ROI帧周期</t>
    <phoneticPr fontId="8" type="noConversion"/>
  </si>
  <si>
    <t>带宽控制帧周期</t>
    <phoneticPr fontId="8" type="noConversion"/>
  </si>
  <si>
    <t>帧率控制帧周期</t>
    <phoneticPr fontId="8" type="noConversion"/>
  </si>
  <si>
    <t>Mode</t>
    <phoneticPr fontId="8" type="noConversion"/>
  </si>
  <si>
    <r>
      <t>像素格式_</t>
    </r>
    <r>
      <rPr>
        <sz val="11"/>
        <color theme="1"/>
        <rFont val="宋体"/>
        <family val="2"/>
        <charset val="134"/>
        <scheme val="minor"/>
      </rPr>
      <t>sensor位宽</t>
    </r>
    <phoneticPr fontId="8" type="noConversion"/>
  </si>
  <si>
    <t>PixelFormat(8/10/12)</t>
    <phoneticPr fontId="8" type="noConversion"/>
  </si>
  <si>
    <t>SensorBitDepth(Bpp8/Bpp10/Bpp12)</t>
    <phoneticPr fontId="8" type="noConversion"/>
  </si>
  <si>
    <t>Bpp8</t>
  </si>
  <si>
    <t>Input range from 64 to 2048,and is an integer multiple of 8</t>
    <phoneticPr fontId="8" type="noConversion"/>
  </si>
  <si>
    <t>Input range from 2 to 1536,and is an integer multiple of 2</t>
    <phoneticPr fontId="8" type="noConversion"/>
  </si>
  <si>
    <t>Input range from 64 to 1024,and is an integer multiple of 8</t>
    <phoneticPr fontId="8" type="noConversion"/>
  </si>
  <si>
    <t>Input range from 2 to 768,and is an integer multiple of 2</t>
    <phoneticPr fontId="8" type="noConversion"/>
  </si>
  <si>
    <t>Input range from 64 to 512,and is an integer multiple of 8</t>
    <phoneticPr fontId="8" type="noConversion"/>
  </si>
  <si>
    <t>像素格式</t>
    <phoneticPr fontId="8" type="noConversion"/>
  </si>
  <si>
    <t>sensor位深</t>
    <phoneticPr fontId="8" type="noConversion"/>
  </si>
  <si>
    <t>Bpp8</t>
    <phoneticPr fontId="8" type="noConversion"/>
  </si>
  <si>
    <t>Bpp10</t>
    <phoneticPr fontId="8" type="noConversion"/>
  </si>
  <si>
    <t>Bpp10</t>
    <phoneticPr fontId="8" type="noConversion"/>
  </si>
  <si>
    <t>please input Bpp10</t>
    <phoneticPr fontId="8" type="noConversion"/>
  </si>
  <si>
    <t>Bpp12</t>
    <phoneticPr fontId="8" type="noConversion"/>
  </si>
  <si>
    <t>please input Bpp12</t>
    <phoneticPr fontId="8" type="noConversion"/>
  </si>
  <si>
    <t>please input Bpp8 or Bpp10</t>
    <phoneticPr fontId="8" type="noConversion"/>
  </si>
  <si>
    <t>v1.11</t>
    <phoneticPr fontId="8" type="noConversion"/>
  </si>
  <si>
    <t>add VEN-230-168U3X-FPC and VEN-301-125U3X-FPC</t>
    <phoneticPr fontId="8" type="noConversion"/>
  </si>
  <si>
    <t>add VE2S-301-125U3X-FPC</t>
    <phoneticPr fontId="8" type="noConversion"/>
  </si>
  <si>
    <t>Parameter setting：</t>
    <phoneticPr fontId="10" type="noConversion"/>
  </si>
  <si>
    <t>Height</t>
    <phoneticPr fontId="8" type="noConversion"/>
  </si>
  <si>
    <t>ExposureTime(us)</t>
    <phoneticPr fontId="8" type="noConversion"/>
  </si>
  <si>
    <t>PixelFormat(8/10)</t>
    <phoneticPr fontId="8" type="noConversion"/>
  </si>
  <si>
    <t>ImageSize</t>
    <phoneticPr fontId="8" type="noConversion"/>
  </si>
  <si>
    <t>Trow</t>
    <phoneticPr fontId="8" type="noConversion"/>
  </si>
  <si>
    <t>Tf</t>
    <phoneticPr fontId="10" type="noConversion"/>
  </si>
  <si>
    <t>Calculation result:</t>
    <phoneticPr fontId="10" type="noConversion"/>
  </si>
  <si>
    <t>FPS</t>
    <phoneticPr fontId="10" type="noConversion"/>
  </si>
  <si>
    <t>带宽限制帧周期（ns）</t>
    <phoneticPr fontId="8" type="noConversion"/>
  </si>
  <si>
    <t>帧率控制帧周期（ns）</t>
    <phoneticPr fontId="8" type="noConversion"/>
  </si>
  <si>
    <t>曝光决定的行周期(inck)</t>
    <phoneticPr fontId="8" type="noConversion"/>
  </si>
  <si>
    <t>带宽限制帧率控制最大行周期(inck)</t>
    <phoneticPr fontId="8" type="noConversion"/>
  </si>
  <si>
    <t>v1.12</t>
  </si>
  <si>
    <t>add VEN-042-121U3X</t>
    <phoneticPr fontId="8" type="noConversion"/>
  </si>
  <si>
    <t>v1.13</t>
    <phoneticPr fontId="8" type="noConversion"/>
  </si>
  <si>
    <t>add VEN-160-227U3X-FPC和VEN-1220-32U3X-FPC</t>
    <phoneticPr fontId="8" type="noConversion"/>
  </si>
  <si>
    <t>binning系数</t>
    <phoneticPr fontId="10" type="noConversion"/>
  </si>
  <si>
    <t>Input range from 16 to 1440,and is an integer multiple of 8</t>
    <phoneticPr fontId="8" type="noConversion"/>
  </si>
  <si>
    <t>Input range from 2 to 1080,and is an integer multiple of 2</t>
    <phoneticPr fontId="8" type="noConversion"/>
  </si>
  <si>
    <t>Input range from 16 to 720,and is an integer multiple of 8</t>
    <phoneticPr fontId="8" type="noConversion"/>
  </si>
  <si>
    <t>Input range from 2 to 540,and is an integer multiple of 2</t>
    <phoneticPr fontId="8" type="noConversion"/>
  </si>
  <si>
    <t>Input range from 16 to 360,and is an integer multiple of 8</t>
    <phoneticPr fontId="8" type="noConversion"/>
  </si>
  <si>
    <t>Input range from 2 to 270,and is an integer multiple of 2</t>
    <phoneticPr fontId="8" type="noConversion"/>
  </si>
  <si>
    <t>BinningHorizontal</t>
    <phoneticPr fontId="10" type="noConversion"/>
  </si>
  <si>
    <t>BinningVertical</t>
    <phoneticPr fontId="10" type="noConversion"/>
  </si>
  <si>
    <t>Input range from 8 to 1440,and is an integer multiple of 8</t>
  </si>
  <si>
    <t>Input range from 4 to 1080,and is an integer multiple of 2</t>
  </si>
  <si>
    <t>Input range from 8 to 720,and is an integer multiple of 8</t>
  </si>
  <si>
    <t>Input range from 4 to 540,and is an integer multiple of 2</t>
  </si>
  <si>
    <t>Input range from 8 to 360,and is an integer multiple of 8</t>
  </si>
  <si>
    <t>Input range from 4 to 270,and is an integer multiple of 2</t>
  </si>
  <si>
    <t>根据demo设置计算出的等效ROI</t>
  </si>
  <si>
    <t>Width_Region</t>
  </si>
  <si>
    <t>曝光时间范围最小值</t>
    <phoneticPr fontId="8" type="noConversion"/>
  </si>
  <si>
    <t>Height_Region</t>
  </si>
  <si>
    <t>Input range from 16 to 4024,and is an integer multiple of 8</t>
    <phoneticPr fontId="10" type="noConversion"/>
  </si>
  <si>
    <t>Input range from 2 to 3036,and is an integer multiple of 2</t>
    <phoneticPr fontId="8" type="noConversion"/>
  </si>
  <si>
    <t>曝光时间范围最大值</t>
    <phoneticPr fontId="8" type="noConversion"/>
  </si>
  <si>
    <t>Input range from 16 to 2008,and is an integer multiple of 8</t>
    <phoneticPr fontId="10" type="noConversion"/>
  </si>
  <si>
    <t>Input range from 2 to 1518,and is an integer multiple of 2</t>
    <phoneticPr fontId="8" type="noConversion"/>
  </si>
  <si>
    <t>sensor实际输出的ROI</t>
  </si>
  <si>
    <t>Input range from 16 to 1000,and is an integer multiple of 8</t>
    <phoneticPr fontId="10" type="noConversion"/>
  </si>
  <si>
    <t>Input range from 2 to 758,and is an integer multiple of 2</t>
    <phoneticPr fontId="8" type="noConversion"/>
  </si>
  <si>
    <t>DecimationHorizontal</t>
    <phoneticPr fontId="10" type="noConversion"/>
  </si>
  <si>
    <t>DecimationVertical</t>
    <phoneticPr fontId="10" type="noConversion"/>
  </si>
  <si>
    <t>sensor最大宽高</t>
    <phoneticPr fontId="8" type="noConversion"/>
  </si>
  <si>
    <t>sensor最小宽度</t>
    <phoneticPr fontId="8" type="noConversion"/>
  </si>
  <si>
    <t>tRow</t>
  </si>
  <si>
    <t>ns</t>
  </si>
  <si>
    <t>ExposureDelay(us)</t>
    <phoneticPr fontId="8" type="noConversion"/>
  </si>
  <si>
    <t>tConfig</t>
  </si>
  <si>
    <t>us</t>
  </si>
  <si>
    <t>tXVS2RD</t>
  </si>
  <si>
    <t>tXVS2CPP</t>
  </si>
  <si>
    <t>ShutterMode</t>
    <phoneticPr fontId="8" type="noConversion"/>
  </si>
  <si>
    <t>Rolling</t>
  </si>
  <si>
    <t>`</t>
    <phoneticPr fontId="8" type="noConversion"/>
  </si>
  <si>
    <t>tolerance_line</t>
  </si>
  <si>
    <t>Vbmin</t>
  </si>
  <si>
    <t>SHS1_MIN</t>
  </si>
  <si>
    <t>transfer_size</t>
  </si>
  <si>
    <t>Byte</t>
  </si>
  <si>
    <t>readout_period_time</t>
    <phoneticPr fontId="8" type="noConversion"/>
  </si>
  <si>
    <t>exp_period_time</t>
    <phoneticPr fontId="8" type="noConversion"/>
  </si>
  <si>
    <t>trig_period_time</t>
    <phoneticPr fontId="8" type="noConversion"/>
  </si>
  <si>
    <t>fps_limit_period_time</t>
    <phoneticPr fontId="8" type="noConversion"/>
  </si>
  <si>
    <t>tp_limit_period_time</t>
    <phoneticPr fontId="8" type="noConversion"/>
  </si>
  <si>
    <t>final_period</t>
    <phoneticPr fontId="8" type="noConversion"/>
  </si>
  <si>
    <r>
      <t>n</t>
    </r>
    <r>
      <rPr>
        <sz val="11"/>
        <color theme="1"/>
        <rFont val="宋体"/>
        <family val="2"/>
        <charset val="134"/>
        <scheme val="minor"/>
      </rPr>
      <t>s</t>
    </r>
    <phoneticPr fontId="8" type="noConversion"/>
  </si>
  <si>
    <t>v1.14</t>
    <phoneticPr fontId="8" type="noConversion"/>
  </si>
  <si>
    <t>PixelFormat(8/12)</t>
    <phoneticPr fontId="8" type="noConversion"/>
  </si>
  <si>
    <t>updata VEN-301-56U3X-S和VEN-230-168U3X-FPC</t>
    <phoneticPr fontId="8" type="noConversion"/>
  </si>
  <si>
    <t>DecimationHorizontal</t>
  </si>
  <si>
    <t>DecimationVertical</t>
  </si>
  <si>
    <t>ExposureDelayTime(us)</t>
  </si>
  <si>
    <t>PixelFormat(8/10/12)</t>
  </si>
  <si>
    <t>skipping系数</t>
  </si>
  <si>
    <t>LINE_U_LENGTH</t>
  </si>
  <si>
    <t>exp_start_dly_line</t>
  </si>
  <si>
    <t>exp_end_dly_clk</t>
  </si>
  <si>
    <t>Risky Duration</t>
  </si>
  <si>
    <t>Readout margin</t>
  </si>
  <si>
    <t>fot</t>
  </si>
  <si>
    <t>img_row_time</t>
  </si>
  <si>
    <t>exp_time</t>
  </si>
  <si>
    <t>judgment of risky duration</t>
  </si>
  <si>
    <t>exp risky delay time</t>
  </si>
  <si>
    <t>period_time</t>
  </si>
  <si>
    <t>exp_period_time</t>
  </si>
  <si>
    <t>fps_limit_flag</t>
  </si>
  <si>
    <t>fps_limit_period_time</t>
  </si>
  <si>
    <t>bandwidth_max</t>
  </si>
  <si>
    <t>image_size</t>
  </si>
  <si>
    <t>frame_size</t>
  </si>
  <si>
    <t>tp_limit_period_time</t>
  </si>
  <si>
    <t xml:space="preserve"> </t>
  </si>
  <si>
    <t>v1.15</t>
  </si>
  <si>
    <t>add VE2S-240-159U3X-S</t>
    <phoneticPr fontId="8" type="noConversion"/>
  </si>
  <si>
    <r>
      <t xml:space="preserve">Input range from 8 to </t>
    </r>
    <r>
      <rPr>
        <sz val="11"/>
        <color theme="1"/>
        <rFont val="宋体"/>
        <family val="3"/>
        <charset val="134"/>
        <scheme val="minor"/>
      </rPr>
      <t>2048</t>
    </r>
    <r>
      <rPr>
        <sz val="11"/>
        <color theme="1"/>
        <rFont val="宋体"/>
        <family val="3"/>
        <charset val="134"/>
        <scheme val="minor"/>
      </rPr>
      <t>,and is an integer multiple of 8</t>
    </r>
    <phoneticPr fontId="8" type="noConversion"/>
  </si>
  <si>
    <r>
      <t xml:space="preserve">Input range from 4 to </t>
    </r>
    <r>
      <rPr>
        <sz val="11"/>
        <color theme="1"/>
        <rFont val="宋体"/>
        <family val="3"/>
        <charset val="134"/>
        <scheme val="minor"/>
      </rPr>
      <t>1536</t>
    </r>
    <r>
      <rPr>
        <sz val="11"/>
        <color theme="1"/>
        <rFont val="宋体"/>
        <family val="3"/>
        <charset val="134"/>
        <scheme val="minor"/>
      </rPr>
      <t>,and is an integer multiple of 2</t>
    </r>
    <phoneticPr fontId="8" type="noConversion"/>
  </si>
  <si>
    <t>BinningSelector</t>
    <phoneticPr fontId="8" type="noConversion"/>
  </si>
  <si>
    <t>Region0</t>
  </si>
  <si>
    <r>
      <t xml:space="preserve">Input range from 8 to </t>
    </r>
    <r>
      <rPr>
        <sz val="11"/>
        <color theme="1"/>
        <rFont val="宋体"/>
        <family val="3"/>
        <charset val="134"/>
        <scheme val="minor"/>
      </rPr>
      <t>1024</t>
    </r>
    <r>
      <rPr>
        <sz val="11"/>
        <color theme="1"/>
        <rFont val="宋体"/>
        <family val="3"/>
        <charset val="134"/>
        <scheme val="minor"/>
      </rPr>
      <t>and is an integer multiple of 8</t>
    </r>
    <phoneticPr fontId="8" type="noConversion"/>
  </si>
  <si>
    <r>
      <t xml:space="preserve">Input range from 4 to </t>
    </r>
    <r>
      <rPr>
        <sz val="11"/>
        <color theme="1"/>
        <rFont val="宋体"/>
        <family val="3"/>
        <charset val="134"/>
        <scheme val="minor"/>
      </rPr>
      <t>768</t>
    </r>
    <r>
      <rPr>
        <sz val="11"/>
        <color theme="1"/>
        <rFont val="宋体"/>
        <family val="3"/>
        <charset val="134"/>
        <scheme val="minor"/>
      </rPr>
      <t>,and is an integer multiple of 2</t>
    </r>
    <phoneticPr fontId="8" type="noConversion"/>
  </si>
  <si>
    <r>
      <t xml:space="preserve">Input range from 8 to </t>
    </r>
    <r>
      <rPr>
        <sz val="11"/>
        <color theme="1"/>
        <rFont val="宋体"/>
        <family val="3"/>
        <charset val="134"/>
        <scheme val="minor"/>
      </rPr>
      <t>512</t>
    </r>
    <r>
      <rPr>
        <sz val="11"/>
        <color theme="1"/>
        <rFont val="宋体"/>
        <family val="3"/>
        <charset val="134"/>
        <scheme val="minor"/>
      </rPr>
      <t>,and is an integer multiple of 8</t>
    </r>
    <phoneticPr fontId="8" type="noConversion"/>
  </si>
  <si>
    <r>
      <t xml:space="preserve">Input range from 4 to </t>
    </r>
    <r>
      <rPr>
        <sz val="11"/>
        <color theme="1"/>
        <rFont val="宋体"/>
        <family val="3"/>
        <charset val="134"/>
        <scheme val="minor"/>
      </rPr>
      <t>384</t>
    </r>
    <r>
      <rPr>
        <sz val="11"/>
        <color theme="1"/>
        <rFont val="宋体"/>
        <family val="3"/>
        <charset val="134"/>
        <scheme val="minor"/>
      </rPr>
      <t>,and is an integer multiple of 2</t>
    </r>
    <phoneticPr fontId="8" type="noConversion"/>
  </si>
  <si>
    <t>ExposureTimeMode</t>
  </si>
  <si>
    <t>binning垂直系数</t>
    <phoneticPr fontId="8" type="noConversion"/>
  </si>
  <si>
    <t>PixelFormat(8/12)</t>
  </si>
  <si>
    <r>
      <t xml:space="preserve">Input range from 8 to </t>
    </r>
    <r>
      <rPr>
        <sz val="11"/>
        <color theme="1"/>
        <rFont val="宋体"/>
        <family val="3"/>
        <charset val="134"/>
        <scheme val="minor"/>
      </rPr>
      <t>2048</t>
    </r>
    <r>
      <rPr>
        <sz val="11"/>
        <color theme="1"/>
        <rFont val="宋体"/>
        <family val="3"/>
        <charset val="134"/>
        <scheme val="minor"/>
      </rPr>
      <t>,and is an integer multiple of 8</t>
    </r>
    <phoneticPr fontId="8" type="noConversion"/>
  </si>
  <si>
    <r>
      <t xml:space="preserve">Input range from 4 to </t>
    </r>
    <r>
      <rPr>
        <sz val="11"/>
        <color theme="1"/>
        <rFont val="宋体"/>
        <family val="3"/>
        <charset val="134"/>
        <scheme val="minor"/>
      </rPr>
      <t>1536</t>
    </r>
    <r>
      <rPr>
        <sz val="11"/>
        <color theme="1"/>
        <rFont val="宋体"/>
        <family val="3"/>
        <charset val="134"/>
        <scheme val="minor"/>
      </rPr>
      <t>,and is an integer multiple of 2</t>
    </r>
    <phoneticPr fontId="8" type="noConversion"/>
  </si>
  <si>
    <t>hmax</t>
  </si>
  <si>
    <t>曝光时间帧周期</t>
  </si>
  <si>
    <t>ROI帧周期</t>
  </si>
  <si>
    <t>带宽控制帧周期</t>
  </si>
  <si>
    <t>帧率控制帧周期</t>
  </si>
  <si>
    <t>tOFFSET</t>
  </si>
  <si>
    <t>Input range from 8 to 2448,and is an integer multiple of 8</t>
  </si>
  <si>
    <t>Input range from 4 to 2048,and is an integer multiple of 2</t>
  </si>
  <si>
    <t>SensorDecimationHorizontal</t>
  </si>
  <si>
    <t>Input range from 8 to 1224,and is an integer multiple of 8</t>
  </si>
  <si>
    <t>Input range from 4 to 1024,and is an integer multiple of 2</t>
  </si>
  <si>
    <t>SensorDecimationVertical</t>
  </si>
  <si>
    <t>Input range from 8 to 608,and is an integer multiple of 8</t>
  </si>
  <si>
    <t>Input range from 4 to 512,and is an integer multiple of 2</t>
  </si>
  <si>
    <t>add VEN-303-107U3X-FPC、VE2S-501-79U3X-S</t>
    <phoneticPr fontId="8" type="noConversion"/>
  </si>
  <si>
    <t>v1.16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</si>
</sst>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8"/>
      <color theme="0"/>
      <name val="华文细黑"/>
      <family val="3"/>
      <charset val="134"/>
    </font>
    <font>
      <sz val="9"/>
      <name val="宋体"/>
      <family val="2"/>
      <charset val="134"/>
      <scheme val="minor"/>
    </font>
    <font>
      <b/>
      <sz val="11"/>
      <color theme="0"/>
      <name val="华文细黑"/>
      <family val="3"/>
      <charset val="134"/>
    </font>
    <font>
      <sz val="11"/>
      <color theme="1"/>
      <name val="宋体"/>
      <family val="2"/>
      <charset val="134"/>
    </font>
    <font>
      <sz val="11"/>
      <color rgb="FFFF0000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2"/>
      <scheme val="minor"/>
    </font>
    <font>
      <sz val="11"/>
      <color rgb="FFFF0000"/>
      <name val="宋体"/>
      <family val="2"/>
      <scheme val="minor"/>
    </font>
    <font>
      <b/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color rgb="FFFFFF00"/>
      <name val="华文细黑"/>
      <family val="3"/>
      <charset val="134"/>
    </font>
  </fonts>
  <fills count="11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145481734672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6" fillId="0" borderId="0">
      <alignment vertical="center"/>
    </xf>
    <xf numFmtId="0" fontId="7" fillId="0" borderId="0"/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0" borderId="0"/>
    <xf numFmtId="0" fontId="14" fillId="0" borderId="0"/>
  </cellStyleXfs>
  <cellXfs count="125">
    <xf numFmtId="0" fontId="0" fillId="0" borderId="0" xfId="0"/>
    <xf numFmtId="0" fontId="6" fillId="0" borderId="0" xfId="1">
      <alignment vertical="center"/>
    </xf>
    <xf numFmtId="2" fontId="9" fillId="2" borderId="1" xfId="1" applyNumberFormat="1" applyFont="1" applyFill="1" applyBorder="1" applyAlignment="1" applyProtection="1">
      <alignment horizontal="left" vertical="center"/>
    </xf>
    <xf numFmtId="0" fontId="9" fillId="2" borderId="1" xfId="1" applyFont="1" applyFill="1" applyBorder="1" applyProtection="1">
      <alignment vertical="center"/>
    </xf>
    <xf numFmtId="0" fontId="11" fillId="3" borderId="1" xfId="1" applyFont="1" applyFill="1" applyBorder="1" applyAlignment="1" applyProtection="1">
      <alignment horizontal="left" vertical="center"/>
    </xf>
    <xf numFmtId="0" fontId="11" fillId="3" borderId="1" xfId="1" applyFont="1" applyFill="1" applyBorder="1" applyProtection="1">
      <alignment vertical="center"/>
    </xf>
    <xf numFmtId="0" fontId="11" fillId="3" borderId="1" xfId="1" applyFont="1" applyFill="1" applyBorder="1" applyAlignment="1" applyProtection="1">
      <alignment horizontal="left" vertical="center"/>
      <protection locked="0"/>
    </xf>
    <xf numFmtId="0" fontId="11" fillId="3" borderId="1" xfId="2" applyFont="1" applyFill="1" applyBorder="1" applyAlignment="1" applyProtection="1">
      <alignment vertical="center"/>
    </xf>
    <xf numFmtId="0" fontId="6" fillId="0" borderId="1" xfId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0" borderId="0" xfId="1" applyAlignment="1">
      <alignment horizontal="left" vertical="center"/>
    </xf>
    <xf numFmtId="0" fontId="11" fillId="3" borderId="1" xfId="0" applyFont="1" applyFill="1" applyBorder="1" applyAlignment="1" applyProtection="1">
      <alignment vertical="center"/>
    </xf>
    <xf numFmtId="0" fontId="11" fillId="5" borderId="1" xfId="0" applyFont="1" applyFill="1" applyBorder="1" applyAlignment="1" applyProtection="1">
      <alignment horizontal="left" vertical="center"/>
      <protection locked="0"/>
    </xf>
    <xf numFmtId="0" fontId="11" fillId="3" borderId="1" xfId="0" applyFont="1" applyFill="1" applyBorder="1" applyAlignment="1" applyProtection="1">
      <alignment horizontal="left" vertical="center"/>
      <protection locked="0"/>
    </xf>
    <xf numFmtId="0" fontId="11" fillId="3" borderId="1" xfId="0" applyFont="1" applyFill="1" applyBorder="1" applyAlignment="1" applyProtection="1">
      <alignment horizontal="left" vertical="center"/>
    </xf>
    <xf numFmtId="0" fontId="9" fillId="2" borderId="1" xfId="0" applyFont="1" applyFill="1" applyBorder="1" applyAlignment="1" applyProtection="1">
      <alignment vertical="center"/>
    </xf>
    <xf numFmtId="2" fontId="9" fillId="2" borderId="1" xfId="0" applyNumberFormat="1" applyFont="1" applyFill="1" applyBorder="1" applyAlignment="1" applyProtection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1" fillId="5" borderId="1" xfId="2" applyFont="1" applyFill="1" applyBorder="1" applyAlignment="1" applyProtection="1">
      <alignment vertical="center"/>
    </xf>
    <xf numFmtId="0" fontId="0" fillId="0" borderId="1" xfId="0" applyBorder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0" fontId="13" fillId="0" borderId="0" xfId="3" applyFont="1">
      <alignment vertical="center"/>
    </xf>
    <xf numFmtId="0" fontId="5" fillId="0" borderId="0" xfId="3">
      <alignment vertical="center"/>
    </xf>
    <xf numFmtId="0" fontId="11" fillId="3" borderId="1" xfId="3" applyFont="1" applyFill="1" applyBorder="1" applyProtection="1">
      <alignment vertical="center"/>
    </xf>
    <xf numFmtId="0" fontId="11" fillId="3" borderId="1" xfId="3" applyFont="1" applyFill="1" applyBorder="1" applyAlignment="1" applyProtection="1">
      <alignment horizontal="left" vertical="center"/>
      <protection locked="0"/>
    </xf>
    <xf numFmtId="0" fontId="14" fillId="0" borderId="0" xfId="3" applyFont="1">
      <alignment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1" fillId="3" borderId="1" xfId="3" applyFont="1" applyFill="1" applyBorder="1" applyAlignment="1" applyProtection="1">
      <alignment horizontal="left" vertical="center"/>
    </xf>
    <xf numFmtId="0" fontId="9" fillId="2" borderId="1" xfId="3" applyFont="1" applyFill="1" applyBorder="1" applyProtection="1">
      <alignment vertical="center"/>
    </xf>
    <xf numFmtId="2" fontId="9" fillId="2" borderId="1" xfId="3" applyNumberFormat="1" applyFont="1" applyFill="1" applyBorder="1" applyAlignment="1" applyProtection="1">
      <alignment horizontal="left" vertical="center"/>
    </xf>
    <xf numFmtId="0" fontId="4" fillId="0" borderId="0" xfId="3" applyFont="1">
      <alignment vertical="center"/>
    </xf>
    <xf numFmtId="0" fontId="3" fillId="0" borderId="0" xfId="3" applyFont="1">
      <alignment vertical="center"/>
    </xf>
    <xf numFmtId="0" fontId="11" fillId="3" borderId="1" xfId="0" applyFont="1" applyFill="1" applyBorder="1" applyAlignment="1" applyProtection="1">
      <alignment vertical="center" wrapText="1"/>
    </xf>
    <xf numFmtId="0" fontId="1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/>
    <xf numFmtId="0" fontId="17" fillId="0" borderId="0" xfId="4" applyFont="1">
      <alignment vertical="center"/>
    </xf>
    <xf numFmtId="0" fontId="2" fillId="0" borderId="0" xfId="4">
      <alignment vertical="center"/>
    </xf>
    <xf numFmtId="0" fontId="11" fillId="5" borderId="1" xfId="4" applyFont="1" applyFill="1" applyBorder="1" applyAlignment="1" applyProtection="1">
      <alignment horizontal="left" vertical="center"/>
      <protection locked="0"/>
    </xf>
    <xf numFmtId="0" fontId="17" fillId="0" borderId="0" xfId="0" applyFont="1" applyAlignment="1">
      <alignment vertical="center"/>
    </xf>
    <xf numFmtId="0" fontId="2" fillId="0" borderId="1" xfId="4" applyBorder="1">
      <alignment vertical="center"/>
    </xf>
    <xf numFmtId="0" fontId="2" fillId="0" borderId="0" xfId="5" applyFont="1">
      <alignment vertical="center"/>
    </xf>
    <xf numFmtId="0" fontId="2" fillId="0" borderId="0" xfId="5">
      <alignment vertical="center"/>
    </xf>
    <xf numFmtId="0" fontId="17" fillId="0" borderId="0" xfId="5" applyFont="1">
      <alignment vertical="center"/>
    </xf>
    <xf numFmtId="0" fontId="11" fillId="3" borderId="1" xfId="4" applyFont="1" applyFill="1" applyBorder="1" applyAlignment="1" applyProtection="1">
      <alignment horizontal="left" vertical="center"/>
      <protection locked="0"/>
    </xf>
    <xf numFmtId="0" fontId="11" fillId="3" borderId="1" xfId="5" applyFont="1" applyFill="1" applyBorder="1" applyAlignment="1" applyProtection="1">
      <alignment horizontal="left" vertical="center"/>
      <protection locked="0"/>
    </xf>
    <xf numFmtId="0" fontId="2" fillId="0" borderId="0" xfId="4" applyFont="1">
      <alignment vertical="center"/>
    </xf>
    <xf numFmtId="0" fontId="2" fillId="0" borderId="1" xfId="4" applyFont="1" applyBorder="1">
      <alignment vertical="center"/>
    </xf>
    <xf numFmtId="0" fontId="11" fillId="3" borderId="1" xfId="4" applyFont="1" applyFill="1" applyBorder="1" applyProtection="1">
      <alignment vertical="center"/>
    </xf>
    <xf numFmtId="0" fontId="11" fillId="3" borderId="1" xfId="4" applyFont="1" applyFill="1" applyBorder="1" applyAlignment="1" applyProtection="1">
      <alignment horizontal="left" vertical="center"/>
    </xf>
    <xf numFmtId="0" fontId="0" fillId="0" borderId="5" xfId="0" applyBorder="1" applyAlignment="1">
      <alignment horizontal="left" vertical="center" wrapText="1"/>
    </xf>
    <xf numFmtId="0" fontId="18" fillId="7" borderId="1" xfId="0" applyFont="1" applyFill="1" applyBorder="1" applyAlignment="1">
      <alignment horizontal="left" vertical="center" wrapText="1"/>
    </xf>
    <xf numFmtId="0" fontId="2" fillId="0" borderId="1" xfId="5" applyBorder="1">
      <alignment vertical="center"/>
    </xf>
    <xf numFmtId="0" fontId="0" fillId="0" borderId="5" xfId="0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9" fillId="2" borderId="1" xfId="4" applyFont="1" applyFill="1" applyBorder="1" applyProtection="1">
      <alignment vertical="center"/>
    </xf>
    <xf numFmtId="2" fontId="9" fillId="2" borderId="1" xfId="4" applyNumberFormat="1" applyFont="1" applyFill="1" applyBorder="1" applyAlignment="1" applyProtection="1">
      <alignment horizontal="left" vertical="center"/>
    </xf>
    <xf numFmtId="0" fontId="2" fillId="0" borderId="1" xfId="5" applyFont="1" applyBorder="1">
      <alignment vertical="center"/>
    </xf>
    <xf numFmtId="0" fontId="14" fillId="7" borderId="1" xfId="0" applyFont="1" applyFill="1" applyBorder="1" applyAlignment="1">
      <alignment horizontal="left" vertical="center" wrapText="1"/>
    </xf>
    <xf numFmtId="0" fontId="2" fillId="0" borderId="0" xfId="3" applyFont="1">
      <alignment vertical="center"/>
    </xf>
    <xf numFmtId="0" fontId="11" fillId="8" borderId="4" xfId="6" applyFont="1" applyFill="1" applyBorder="1" applyAlignment="1" applyProtection="1">
      <alignment vertical="center"/>
    </xf>
    <xf numFmtId="0" fontId="14" fillId="0" borderId="0" xfId="6" applyAlignment="1">
      <alignment vertical="center"/>
    </xf>
    <xf numFmtId="0" fontId="14" fillId="0" borderId="0" xfId="6"/>
    <xf numFmtId="0" fontId="11" fillId="8" borderId="1" xfId="7" applyFont="1" applyFill="1" applyBorder="1" applyAlignment="1" applyProtection="1">
      <alignment vertical="center"/>
    </xf>
    <xf numFmtId="0" fontId="11" fillId="3" borderId="1" xfId="6" applyFont="1" applyFill="1" applyBorder="1" applyAlignment="1" applyProtection="1">
      <alignment horizontal="left" vertical="center"/>
      <protection locked="0"/>
    </xf>
    <xf numFmtId="0" fontId="19" fillId="0" borderId="0" xfId="6" applyFont="1" applyAlignment="1">
      <alignment vertical="center"/>
    </xf>
    <xf numFmtId="0" fontId="11" fillId="8" borderId="1" xfId="6" applyFont="1" applyFill="1" applyBorder="1" applyAlignment="1" applyProtection="1">
      <alignment vertical="center"/>
    </xf>
    <xf numFmtId="0" fontId="11" fillId="8" borderId="1" xfId="6" applyFont="1" applyFill="1" applyBorder="1" applyAlignment="1" applyProtection="1">
      <alignment horizontal="left" vertical="center"/>
      <protection locked="0"/>
    </xf>
    <xf numFmtId="0" fontId="11" fillId="9" borderId="1" xfId="6" applyFont="1" applyFill="1" applyBorder="1" applyAlignment="1" applyProtection="1">
      <alignment vertical="center"/>
    </xf>
    <xf numFmtId="0" fontId="11" fillId="9" borderId="1" xfId="6" applyFont="1" applyFill="1" applyBorder="1" applyAlignment="1" applyProtection="1">
      <alignment horizontal="left" vertical="center"/>
      <protection locked="0"/>
    </xf>
    <xf numFmtId="0" fontId="11" fillId="9" borderId="1" xfId="7" applyFont="1" applyFill="1" applyBorder="1" applyAlignment="1" applyProtection="1">
      <alignment vertical="center"/>
    </xf>
    <xf numFmtId="0" fontId="20" fillId="9" borderId="1" xfId="7" applyFont="1" applyFill="1" applyBorder="1" applyAlignment="1" applyProtection="1">
      <alignment vertical="center"/>
    </xf>
    <xf numFmtId="0" fontId="20" fillId="9" borderId="1" xfId="6" applyFont="1" applyFill="1" applyBorder="1" applyAlignment="1" applyProtection="1">
      <alignment horizontal="left" vertical="center"/>
      <protection locked="0"/>
    </xf>
    <xf numFmtId="0" fontId="20" fillId="9" borderId="1" xfId="6" applyFont="1" applyFill="1" applyBorder="1" applyAlignment="1" applyProtection="1">
      <alignment horizontal="left" vertical="center"/>
    </xf>
    <xf numFmtId="0" fontId="9" fillId="2" borderId="1" xfId="6" applyFont="1" applyFill="1" applyBorder="1" applyAlignment="1" applyProtection="1">
      <alignment vertical="center"/>
    </xf>
    <xf numFmtId="2" fontId="9" fillId="2" borderId="1" xfId="6" applyNumberFormat="1" applyFont="1" applyFill="1" applyBorder="1" applyAlignment="1" applyProtection="1">
      <alignment horizontal="left" vertical="center"/>
    </xf>
    <xf numFmtId="0" fontId="14" fillId="0" borderId="0" xfId="6" applyBorder="1" applyAlignment="1" applyProtection="1">
      <alignment vertical="center"/>
    </xf>
    <xf numFmtId="0" fontId="0" fillId="4" borderId="4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11" fillId="3" borderId="4" xfId="0" applyFont="1" applyFill="1" applyBorder="1" applyAlignment="1" applyProtection="1">
      <alignment horizontal="left" vertical="center"/>
    </xf>
    <xf numFmtId="0" fontId="11" fillId="3" borderId="2" xfId="0" applyFont="1" applyFill="1" applyBorder="1" applyAlignment="1" applyProtection="1">
      <alignment horizontal="left" vertical="center"/>
    </xf>
    <xf numFmtId="0" fontId="11" fillId="2" borderId="4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1" fillId="3" borderId="4" xfId="1" applyFont="1" applyFill="1" applyBorder="1" applyAlignment="1" applyProtection="1">
      <alignment vertical="center"/>
    </xf>
    <xf numFmtId="0" fontId="6" fillId="0" borderId="3" xfId="1" applyBorder="1" applyAlignment="1" applyProtection="1">
      <alignment vertical="center"/>
    </xf>
    <xf numFmtId="0" fontId="6" fillId="0" borderId="2" xfId="1" applyBorder="1" applyAlignment="1" applyProtection="1">
      <alignment vertical="center"/>
    </xf>
    <xf numFmtId="0" fontId="11" fillId="2" borderId="4" xfId="1" applyFont="1" applyFill="1" applyBorder="1" applyAlignment="1" applyProtection="1">
      <alignment vertical="center"/>
    </xf>
    <xf numFmtId="0" fontId="11" fillId="3" borderId="4" xfId="0" applyFont="1" applyFill="1" applyBorder="1" applyAlignment="1" applyProtection="1">
      <alignment vertical="center"/>
    </xf>
    <xf numFmtId="0" fontId="11" fillId="3" borderId="3" xfId="0" applyFont="1" applyFill="1" applyBorder="1" applyAlignment="1" applyProtection="1">
      <alignment vertical="center"/>
    </xf>
    <xf numFmtId="0" fontId="11" fillId="3" borderId="2" xfId="0" applyFont="1" applyFill="1" applyBorder="1" applyAlignment="1" applyProtection="1">
      <alignment vertical="center"/>
    </xf>
    <xf numFmtId="0" fontId="11" fillId="2" borderId="3" xfId="0" applyFont="1" applyFill="1" applyBorder="1" applyAlignment="1" applyProtection="1">
      <alignment vertical="center"/>
    </xf>
    <xf numFmtId="0" fontId="11" fillId="2" borderId="2" xfId="0" applyFont="1" applyFill="1" applyBorder="1" applyAlignment="1" applyProtection="1">
      <alignment vertical="center"/>
    </xf>
    <xf numFmtId="0" fontId="0" fillId="6" borderId="4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11" fillId="2" borderId="1" xfId="6" applyFont="1" applyFill="1" applyBorder="1" applyAlignment="1" applyProtection="1">
      <alignment horizontal="left" vertical="center"/>
    </xf>
    <xf numFmtId="0" fontId="2" fillId="6" borderId="4" xfId="4" applyFill="1" applyBorder="1" applyAlignment="1">
      <alignment horizontal="center" vertical="center"/>
    </xf>
    <xf numFmtId="0" fontId="2" fillId="6" borderId="3" xfId="4" applyFill="1" applyBorder="1" applyAlignment="1">
      <alignment horizontal="center" vertical="center"/>
    </xf>
    <xf numFmtId="0" fontId="2" fillId="6" borderId="2" xfId="4" applyFill="1" applyBorder="1" applyAlignment="1">
      <alignment horizontal="center" vertical="center"/>
    </xf>
    <xf numFmtId="0" fontId="11" fillId="8" borderId="4" xfId="7" applyFont="1" applyFill="1" applyBorder="1" applyAlignment="1" applyProtection="1">
      <alignment horizontal="left" vertical="center"/>
    </xf>
    <xf numFmtId="0" fontId="11" fillId="8" borderId="2" xfId="7" applyFont="1" applyFill="1" applyBorder="1" applyAlignment="1" applyProtection="1">
      <alignment horizontal="left" vertical="center"/>
    </xf>
    <xf numFmtId="0" fontId="14" fillId="0" borderId="0" xfId="7" applyAlignment="1">
      <alignment vertical="center"/>
    </xf>
    <xf numFmtId="0" fontId="14" fillId="0" borderId="0" xfId="7"/>
    <xf numFmtId="0" fontId="11" fillId="3" borderId="1" xfId="7" applyFont="1" applyFill="1" applyBorder="1" applyAlignment="1" applyProtection="1">
      <alignment horizontal="left" vertical="center"/>
      <protection locked="0"/>
    </xf>
    <xf numFmtId="0" fontId="19" fillId="0" borderId="0" xfId="7" applyFont="1" applyAlignment="1">
      <alignment vertical="center"/>
    </xf>
    <xf numFmtId="0" fontId="14" fillId="0" borderId="0" xfId="7" applyFont="1" applyAlignment="1">
      <alignment vertical="center"/>
    </xf>
    <xf numFmtId="0" fontId="11" fillId="8" borderId="1" xfId="7" applyFont="1" applyFill="1" applyBorder="1" applyAlignment="1" applyProtection="1">
      <alignment horizontal="left" vertical="center"/>
      <protection locked="0"/>
    </xf>
    <xf numFmtId="0" fontId="11" fillId="10" borderId="1" xfId="7" applyFont="1" applyFill="1" applyBorder="1" applyAlignment="1" applyProtection="1">
      <alignment vertical="center"/>
    </xf>
    <xf numFmtId="0" fontId="11" fillId="10" borderId="1" xfId="7" applyFont="1" applyFill="1" applyBorder="1" applyAlignment="1" applyProtection="1">
      <alignment horizontal="left" vertical="center"/>
      <protection locked="0"/>
    </xf>
    <xf numFmtId="0" fontId="11" fillId="10" borderId="1" xfId="7" applyFont="1" applyFill="1" applyBorder="1" applyAlignment="1" applyProtection="1">
      <alignment horizontal="left" vertical="center"/>
    </xf>
    <xf numFmtId="0" fontId="11" fillId="2" borderId="4" xfId="7" applyFont="1" applyFill="1" applyBorder="1" applyAlignment="1" applyProtection="1">
      <alignment vertical="center"/>
    </xf>
    <xf numFmtId="0" fontId="14" fillId="0" borderId="3" xfId="7" applyBorder="1" applyAlignment="1" applyProtection="1">
      <alignment vertical="center"/>
    </xf>
    <xf numFmtId="0" fontId="9" fillId="2" borderId="1" xfId="7" applyFont="1" applyFill="1" applyBorder="1" applyAlignment="1" applyProtection="1">
      <alignment vertical="center"/>
    </xf>
    <xf numFmtId="2" fontId="9" fillId="2" borderId="1" xfId="7" applyNumberFormat="1" applyFont="1" applyFill="1" applyBorder="1" applyAlignment="1" applyProtection="1">
      <alignment horizontal="left" vertical="center"/>
    </xf>
    <xf numFmtId="0" fontId="19" fillId="0" borderId="0" xfId="7" applyFont="1"/>
    <xf numFmtId="0" fontId="11" fillId="8" borderId="1" xfId="7" applyFont="1" applyFill="1" applyBorder="1" applyAlignment="1" applyProtection="1">
      <alignment horizontal="left" vertical="center"/>
    </xf>
  </cellXfs>
  <cellStyles count="8">
    <cellStyle name="常规" xfId="0" builtinId="0"/>
    <cellStyle name="常规 2" xfId="1"/>
    <cellStyle name="常规 2 2" xfId="2"/>
    <cellStyle name="常规 2 3" xfId="7"/>
    <cellStyle name="常规 3" xfId="6"/>
    <cellStyle name="常规 3 2" xfId="4"/>
    <cellStyle name="常规 5 2" xfId="3"/>
    <cellStyle name="常规 7" xfId="5"/>
  </cellStyles>
  <dxfs count="52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/>
      </font>
      <fill>
        <patternFill patternType="solid">
          <fgColor auto="1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/>
      </font>
      <fill>
        <patternFill patternType="solid">
          <fgColor auto="1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9"/>
  <sheetViews>
    <sheetView tabSelected="1" workbookViewId="0">
      <selection activeCell="C33" sqref="C33"/>
    </sheetView>
  </sheetViews>
  <sheetFormatPr defaultRowHeight="13.5" x14ac:dyDescent="0.15"/>
  <cols>
    <col min="2" max="2" width="9.5" bestFit="1" customWidth="1"/>
    <col min="3" max="3" width="47.875" bestFit="1" customWidth="1"/>
  </cols>
  <sheetData>
    <row r="1" spans="1:3" x14ac:dyDescent="0.15">
      <c r="A1" s="85" t="s">
        <v>42</v>
      </c>
      <c r="B1" s="86"/>
      <c r="C1" s="87"/>
    </row>
    <row r="2" spans="1:3" x14ac:dyDescent="0.15">
      <c r="A2" s="9" t="s">
        <v>43</v>
      </c>
      <c r="B2" s="9" t="s">
        <v>44</v>
      </c>
      <c r="C2" s="9" t="s">
        <v>45</v>
      </c>
    </row>
    <row r="3" spans="1:3" x14ac:dyDescent="0.15">
      <c r="A3" s="10" t="s">
        <v>46</v>
      </c>
      <c r="B3" s="10">
        <v>20171116</v>
      </c>
      <c r="C3" s="10" t="s">
        <v>70</v>
      </c>
    </row>
    <row r="4" spans="1:3" ht="27" x14ac:dyDescent="0.15">
      <c r="A4" s="10" t="s">
        <v>48</v>
      </c>
      <c r="B4" s="10">
        <v>20171120</v>
      </c>
      <c r="C4" s="10" t="s">
        <v>72</v>
      </c>
    </row>
    <row r="5" spans="1:3" x14ac:dyDescent="0.15">
      <c r="A5" s="10" t="s">
        <v>51</v>
      </c>
      <c r="B5" s="10">
        <v>20171212</v>
      </c>
      <c r="C5" s="10" t="s">
        <v>71</v>
      </c>
    </row>
    <row r="6" spans="1:3" x14ac:dyDescent="0.15">
      <c r="A6" s="10" t="s">
        <v>58</v>
      </c>
      <c r="B6" s="10">
        <v>20200727</v>
      </c>
      <c r="C6" s="10" t="s">
        <v>73</v>
      </c>
    </row>
    <row r="7" spans="1:3" x14ac:dyDescent="0.15">
      <c r="A7" s="10" t="s">
        <v>117</v>
      </c>
      <c r="B7" s="10">
        <v>20210310</v>
      </c>
      <c r="C7" s="10" t="s">
        <v>118</v>
      </c>
    </row>
    <row r="8" spans="1:3" ht="27" x14ac:dyDescent="0.15">
      <c r="A8" s="10" t="s">
        <v>151</v>
      </c>
      <c r="B8" s="23">
        <v>20210322</v>
      </c>
      <c r="C8" s="23" t="s">
        <v>168</v>
      </c>
    </row>
    <row r="9" spans="1:3" x14ac:dyDescent="0.15">
      <c r="A9" s="10" t="s">
        <v>166</v>
      </c>
      <c r="B9" s="23">
        <v>20210712</v>
      </c>
      <c r="C9" s="10" t="s">
        <v>165</v>
      </c>
    </row>
    <row r="10" spans="1:3" ht="27" customHeight="1" x14ac:dyDescent="0.15">
      <c r="A10" s="10" t="s">
        <v>167</v>
      </c>
      <c r="B10" s="23">
        <v>20210713</v>
      </c>
      <c r="C10" s="10" t="s">
        <v>169</v>
      </c>
    </row>
    <row r="11" spans="1:3" ht="27" x14ac:dyDescent="0.15">
      <c r="A11" s="24" t="s">
        <v>170</v>
      </c>
      <c r="B11" s="25">
        <v>20210830</v>
      </c>
      <c r="C11" s="24" t="s">
        <v>171</v>
      </c>
    </row>
    <row r="12" spans="1:3" x14ac:dyDescent="0.15">
      <c r="A12" s="24" t="s">
        <v>172</v>
      </c>
      <c r="B12" s="23">
        <v>20220402</v>
      </c>
      <c r="C12" s="26" t="s">
        <v>222</v>
      </c>
    </row>
    <row r="13" spans="1:3" x14ac:dyDescent="0.15">
      <c r="A13" s="24" t="s">
        <v>173</v>
      </c>
      <c r="B13" s="23">
        <v>20220517</v>
      </c>
      <c r="C13" s="26" t="s">
        <v>175</v>
      </c>
    </row>
    <row r="14" spans="1:3" x14ac:dyDescent="0.15">
      <c r="A14" s="24" t="s">
        <v>221</v>
      </c>
      <c r="B14" s="23">
        <v>20230105</v>
      </c>
      <c r="C14" s="26" t="s">
        <v>223</v>
      </c>
    </row>
    <row r="15" spans="1:3" x14ac:dyDescent="0.15">
      <c r="A15" s="24" t="s">
        <v>237</v>
      </c>
      <c r="B15" s="23">
        <v>20231016</v>
      </c>
      <c r="C15" s="26" t="s">
        <v>238</v>
      </c>
    </row>
    <row r="16" spans="1:3" x14ac:dyDescent="0.15">
      <c r="A16" s="24" t="s">
        <v>239</v>
      </c>
      <c r="B16" s="23">
        <v>20231106</v>
      </c>
      <c r="C16" s="26" t="s">
        <v>240</v>
      </c>
    </row>
    <row r="17" spans="1:3" x14ac:dyDescent="0.15">
      <c r="A17" s="24" t="s">
        <v>294</v>
      </c>
      <c r="B17" s="23">
        <v>20231110</v>
      </c>
      <c r="C17" s="26" t="s">
        <v>296</v>
      </c>
    </row>
    <row r="18" spans="1:3" x14ac:dyDescent="0.15">
      <c r="A18" s="24" t="s">
        <v>321</v>
      </c>
      <c r="B18" s="23">
        <v>20230402</v>
      </c>
      <c r="C18" s="26" t="s">
        <v>322</v>
      </c>
    </row>
    <row r="19" spans="1:3" x14ac:dyDescent="0.15">
      <c r="A19" s="24" t="s">
        <v>351</v>
      </c>
      <c r="B19" s="23">
        <v>20230430</v>
      </c>
      <c r="C19" s="26" t="s">
        <v>350</v>
      </c>
    </row>
  </sheetData>
  <mergeCells count="1">
    <mergeCell ref="A1:C1"/>
  </mergeCells>
  <phoneticPr fontId="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workbookViewId="0">
      <selection activeCell="C42" sqref="C42"/>
    </sheetView>
  </sheetViews>
  <sheetFormatPr defaultColWidth="9" defaultRowHeight="13.5" x14ac:dyDescent="0.15"/>
  <cols>
    <col min="1" max="1" width="36.875" style="70" customWidth="1"/>
    <col min="2" max="2" width="23.75" style="70" customWidth="1"/>
    <col min="3" max="3" width="31.5" style="70" customWidth="1"/>
    <col min="4" max="5" width="9" style="70"/>
    <col min="6" max="6" width="13.625" style="70" hidden="1" customWidth="1"/>
    <col min="7" max="8" width="9" style="70" hidden="1" customWidth="1"/>
    <col min="9" max="9" width="73.625" style="70" hidden="1" customWidth="1"/>
    <col min="10" max="10" width="64.875" style="70" hidden="1" customWidth="1"/>
    <col min="11" max="16384" width="9" style="70"/>
  </cols>
  <sheetData>
    <row r="1" spans="1:10" ht="15.75" x14ac:dyDescent="0.15">
      <c r="A1" s="68" t="s">
        <v>152</v>
      </c>
      <c r="B1" s="68"/>
      <c r="C1" s="69"/>
      <c r="D1" s="69"/>
      <c r="E1" s="69"/>
      <c r="F1" s="69"/>
      <c r="G1" s="69"/>
      <c r="H1" s="69"/>
      <c r="I1" s="69"/>
      <c r="J1" s="69"/>
    </row>
    <row r="2" spans="1:10" ht="15.75" x14ac:dyDescent="0.15">
      <c r="A2" s="71" t="s">
        <v>53</v>
      </c>
      <c r="B2" s="72">
        <v>2048</v>
      </c>
      <c r="C2" s="73" t="str">
        <f>IF(OR(B2&gt;G7/B4,B2&lt;16),LOOKUP(B4,F3:F5,I3:I5),IF(OR(B2&gt;G7/B6,B2&lt;16),LOOKUP(B6,F12:F14,I12:I14),""))</f>
        <v/>
      </c>
      <c r="D2" s="69"/>
      <c r="E2" s="69"/>
      <c r="F2" s="69" t="s">
        <v>153</v>
      </c>
      <c r="G2" s="69" t="s">
        <v>154</v>
      </c>
      <c r="H2" s="69" t="s">
        <v>155</v>
      </c>
      <c r="I2" s="69"/>
      <c r="J2" s="69"/>
    </row>
    <row r="3" spans="1:10" ht="15.75" x14ac:dyDescent="0.15">
      <c r="A3" s="71" t="s">
        <v>156</v>
      </c>
      <c r="B3" s="72">
        <v>1200</v>
      </c>
      <c r="C3" s="73" t="str">
        <f>IF(OR(B3&gt;H7/B5,B3&lt;2),LOOKUP(B5,F3:F5,J3:J5),IF(OR(B3&gt;H7/B7,B3&lt;2),LOOKUP(B7,F12:F14,J11:J13),""))</f>
        <v/>
      </c>
      <c r="D3" s="69"/>
      <c r="E3" s="69"/>
      <c r="F3" s="69">
        <v>1</v>
      </c>
      <c r="G3" s="69">
        <f>8*INT(G7/(8*F3))</f>
        <v>2048</v>
      </c>
      <c r="H3" s="69">
        <f>2*INT(H7/(2*F3))</f>
        <v>1200</v>
      </c>
      <c r="I3" s="69" t="str">
        <f>"Input range from 16 to "&amp;G3&amp;",and is an integer multiple of 8"</f>
        <v>Input range from 16 to 2048,and is an integer multiple of 8</v>
      </c>
      <c r="J3" s="69" t="str">
        <f>"Input range from 2 to "&amp;H3&amp;",and is an integer multiple of 2"</f>
        <v>Input range from 2 to 1200,and is an integer multiple of 2</v>
      </c>
    </row>
    <row r="4" spans="1:10" ht="15.75" x14ac:dyDescent="0.15">
      <c r="A4" s="74" t="s">
        <v>157</v>
      </c>
      <c r="B4" s="75">
        <v>1</v>
      </c>
      <c r="C4" s="73" t="str">
        <f>IF(AND(B4&gt;1,B6&gt;1),"The Horizontal binning and skipping are not set to be greater than 1 at the same time","")</f>
        <v/>
      </c>
      <c r="D4" s="69"/>
      <c r="E4" s="69"/>
      <c r="F4" s="69">
        <v>2</v>
      </c>
      <c r="G4" s="69">
        <f>8*INT(G7/(8*F4))</f>
        <v>1024</v>
      </c>
      <c r="H4" s="69">
        <f>2*INT(H7/(2*F4))</f>
        <v>600</v>
      </c>
      <c r="I4" s="69" t="str">
        <f>"Input range from 16 to "&amp;G4&amp;",and is an integer multiple of 8"</f>
        <v>Input range from 16 to 1024,and is an integer multiple of 8</v>
      </c>
      <c r="J4" s="69" t="str">
        <f>"Input range from 2 to "&amp;H4&amp;",and is an integer multiple of 2"</f>
        <v>Input range from 2 to 600,and is an integer multiple of 2</v>
      </c>
    </row>
    <row r="5" spans="1:10" ht="15.75" x14ac:dyDescent="0.15">
      <c r="A5" s="74" t="s">
        <v>158</v>
      </c>
      <c r="B5" s="75">
        <v>1</v>
      </c>
      <c r="C5" s="73" t="str">
        <f>IF(AND(B5&gt;1,B7&gt;1),"The vertical binning and skipping are not set to be greater than 1 at the same time","")</f>
        <v/>
      </c>
      <c r="D5" s="69"/>
      <c r="E5" s="69"/>
      <c r="F5" s="69">
        <v>4</v>
      </c>
      <c r="G5" s="69">
        <f>8*INT(G7/(8*F5))</f>
        <v>512</v>
      </c>
      <c r="H5" s="69">
        <f>2*INT(H7/(2*F5))</f>
        <v>300</v>
      </c>
      <c r="I5" s="69" t="str">
        <f>"Input range from 16 to "&amp;G5&amp;",and is an integer multiple of 8"</f>
        <v>Input range from 16 to 512,and is an integer multiple of 8</v>
      </c>
      <c r="J5" s="69" t="str">
        <f>"Input range from 2 to "&amp;H5&amp;",and is an integer multiple of 2"</f>
        <v>Input range from 2 to 300,and is an integer multiple of 2</v>
      </c>
    </row>
    <row r="6" spans="1:10" ht="15.75" x14ac:dyDescent="0.15">
      <c r="A6" s="74" t="s">
        <v>297</v>
      </c>
      <c r="B6" s="75">
        <v>1</v>
      </c>
      <c r="C6" s="73" t="str">
        <f>IF(AND(B4&gt;1,B6&gt;1),"The Horizontal binning and skipping are not set to be greater than 1 at the same time","")</f>
        <v/>
      </c>
      <c r="D6" s="69"/>
      <c r="E6" s="69"/>
      <c r="F6" s="69"/>
      <c r="G6" s="69"/>
      <c r="H6" s="69"/>
      <c r="I6" s="69" t="s">
        <v>159</v>
      </c>
      <c r="J6" s="69"/>
    </row>
    <row r="7" spans="1:10" ht="15.75" x14ac:dyDescent="0.15">
      <c r="A7" s="74" t="s">
        <v>298</v>
      </c>
      <c r="B7" s="75">
        <v>1</v>
      </c>
      <c r="C7" s="73" t="str">
        <f>IF(AND(B5&gt;1,B7&gt;1),"The vertical binning and skipping are not set to be greater than 1 at the same time","")</f>
        <v/>
      </c>
      <c r="D7" s="69"/>
      <c r="E7" s="69"/>
      <c r="F7" s="69"/>
      <c r="G7" s="69">
        <v>2048</v>
      </c>
      <c r="H7" s="69">
        <v>1200</v>
      </c>
      <c r="I7" s="69"/>
      <c r="J7" s="69"/>
    </row>
    <row r="8" spans="1:10" ht="15.75" x14ac:dyDescent="0.15">
      <c r="A8" s="71" t="s">
        <v>23</v>
      </c>
      <c r="B8" s="75">
        <v>10000</v>
      </c>
      <c r="C8" s="69"/>
      <c r="D8" s="69"/>
      <c r="E8" s="69"/>
      <c r="F8" s="69"/>
      <c r="G8" s="69"/>
      <c r="H8" s="69"/>
      <c r="I8" s="69"/>
      <c r="J8" s="69"/>
    </row>
    <row r="9" spans="1:10" ht="15.75" x14ac:dyDescent="0.15">
      <c r="A9" s="71" t="s">
        <v>299</v>
      </c>
      <c r="B9" s="75">
        <v>0</v>
      </c>
      <c r="C9" s="69"/>
      <c r="D9" s="69"/>
      <c r="E9" s="69"/>
      <c r="J9" s="69"/>
    </row>
    <row r="10" spans="1:10" ht="15.75" x14ac:dyDescent="0.15">
      <c r="A10" s="71" t="s">
        <v>300</v>
      </c>
      <c r="B10" s="75">
        <v>8</v>
      </c>
      <c r="C10" s="69"/>
      <c r="D10" s="69"/>
      <c r="E10" s="69"/>
      <c r="F10" s="69" t="s">
        <v>301</v>
      </c>
      <c r="G10" s="69" t="s">
        <v>154</v>
      </c>
      <c r="H10" s="69" t="s">
        <v>155</v>
      </c>
      <c r="I10" s="69"/>
      <c r="J10" s="69" t="str">
        <f>"Input range from 2 to "&amp;H11&amp;",and is an integer multiple of 2"</f>
        <v>Input range from 2 to 1200,and is an integer multiple of 2</v>
      </c>
    </row>
    <row r="11" spans="1:10" ht="15.75" x14ac:dyDescent="0.15">
      <c r="A11" s="71" t="s">
        <v>18</v>
      </c>
      <c r="B11" s="75">
        <v>300000000</v>
      </c>
      <c r="C11" s="69"/>
      <c r="D11" s="69"/>
      <c r="E11" s="69"/>
      <c r="F11" s="69">
        <v>1</v>
      </c>
      <c r="G11" s="69">
        <f>8*INT(G15/(8*F11))</f>
        <v>2048</v>
      </c>
      <c r="H11" s="69">
        <f>2*INT(H15/(2*F11))</f>
        <v>1200</v>
      </c>
      <c r="I11" s="69" t="str">
        <f>"Input range from 16 to "&amp;G11&amp;",and is an integer multiple of 8"</f>
        <v>Input range from 16 to 2048,and is an integer multiple of 8</v>
      </c>
      <c r="J11" s="69" t="str">
        <f>"Input range from 2 to "&amp;H12&amp;",and is an integer multiple of 2"</f>
        <v>Input range from 2 to 600,and is an integer multiple of 2</v>
      </c>
    </row>
    <row r="12" spans="1:10" ht="15.75" x14ac:dyDescent="0.15">
      <c r="A12" s="71" t="s">
        <v>16</v>
      </c>
      <c r="B12" s="75" t="s">
        <v>15</v>
      </c>
      <c r="C12" s="69"/>
      <c r="D12" s="69"/>
      <c r="E12" s="69"/>
      <c r="F12" s="69">
        <v>2</v>
      </c>
      <c r="G12" s="69">
        <f>8*INT(G15/(8*F12))</f>
        <v>1024</v>
      </c>
      <c r="H12" s="69">
        <f>2*INT(H15/(2*F12))</f>
        <v>600</v>
      </c>
      <c r="I12" s="69" t="str">
        <f>"Input range from 16 to "&amp;G12&amp;",and is an integer multiple of 8"</f>
        <v>Input range from 16 to 1024,and is an integer multiple of 8</v>
      </c>
      <c r="J12" s="69" t="str">
        <f>"Input range from 2 to "&amp;H13&amp;",and is an integer multiple of 2"</f>
        <v>Input range from 2 to 300,and is an integer multiple of 2</v>
      </c>
    </row>
    <row r="13" spans="1:10" ht="15.75" x14ac:dyDescent="0.15">
      <c r="A13" s="71" t="s">
        <v>13</v>
      </c>
      <c r="B13" s="75">
        <v>159.4</v>
      </c>
      <c r="C13" s="69"/>
      <c r="D13" s="69"/>
      <c r="E13" s="69"/>
      <c r="F13" s="69">
        <v>4</v>
      </c>
      <c r="G13" s="69">
        <f>8*INT(G15/(8*F13))</f>
        <v>512</v>
      </c>
      <c r="H13" s="69">
        <f>2*INT(H15/(2*F13))</f>
        <v>300</v>
      </c>
      <c r="I13" s="69" t="str">
        <f>"Input range from 16 to "&amp;G13&amp;",and is an integer multiple of 8"</f>
        <v>Input range from 16 to 512,and is an integer multiple of 8</v>
      </c>
      <c r="J13" s="69"/>
    </row>
    <row r="14" spans="1:10" ht="15.75" hidden="1" x14ac:dyDescent="0.15">
      <c r="A14" s="76" t="s">
        <v>302</v>
      </c>
      <c r="B14" s="77">
        <f>IF(B10=8,335,670)</f>
        <v>335</v>
      </c>
      <c r="C14" s="69"/>
      <c r="D14" s="69"/>
      <c r="E14" s="69"/>
      <c r="F14" s="69"/>
      <c r="G14" s="69"/>
      <c r="H14" s="69"/>
      <c r="I14" s="69" t="s">
        <v>159</v>
      </c>
      <c r="J14" s="69"/>
    </row>
    <row r="15" spans="1:10" ht="15.75" hidden="1" x14ac:dyDescent="0.15">
      <c r="A15" s="76" t="s">
        <v>283</v>
      </c>
      <c r="B15" s="77">
        <v>24</v>
      </c>
      <c r="C15" s="69"/>
      <c r="D15" s="69"/>
      <c r="E15" s="69"/>
      <c r="F15" s="69"/>
      <c r="G15" s="69">
        <v>2048</v>
      </c>
      <c r="H15" s="69">
        <v>1200</v>
      </c>
      <c r="I15" s="69"/>
      <c r="J15" s="69"/>
    </row>
    <row r="16" spans="1:10" ht="15.75" hidden="1" x14ac:dyDescent="0.15">
      <c r="A16" s="76" t="s">
        <v>303</v>
      </c>
      <c r="B16" s="77">
        <v>3</v>
      </c>
      <c r="C16" s="69"/>
      <c r="D16" s="69"/>
      <c r="E16" s="69"/>
      <c r="F16" s="69"/>
      <c r="G16" s="69"/>
      <c r="H16" s="69"/>
      <c r="I16" s="69"/>
      <c r="J16" s="69"/>
    </row>
    <row r="17" spans="1:10" ht="15.75" hidden="1" x14ac:dyDescent="0.15">
      <c r="A17" s="76" t="s">
        <v>304</v>
      </c>
      <c r="B17" s="77">
        <v>245</v>
      </c>
      <c r="C17" s="69"/>
      <c r="D17" s="69"/>
      <c r="E17" s="69"/>
      <c r="F17" s="69"/>
      <c r="G17" s="69"/>
      <c r="H17" s="69"/>
      <c r="I17" s="69"/>
      <c r="J17" s="69"/>
    </row>
    <row r="18" spans="1:10" ht="15.75" hidden="1" x14ac:dyDescent="0.15">
      <c r="A18" s="78" t="s">
        <v>305</v>
      </c>
      <c r="B18" s="77">
        <v>0</v>
      </c>
      <c r="C18" s="69"/>
      <c r="D18" s="69"/>
      <c r="E18" s="69"/>
      <c r="F18" s="69"/>
      <c r="G18" s="69"/>
      <c r="H18" s="69"/>
      <c r="I18" s="69"/>
      <c r="J18" s="69"/>
    </row>
    <row r="19" spans="1:10" ht="15.75" hidden="1" x14ac:dyDescent="0.15">
      <c r="A19" s="78" t="s">
        <v>306</v>
      </c>
      <c r="B19" s="77">
        <v>1</v>
      </c>
      <c r="C19" s="69"/>
      <c r="D19" s="69"/>
      <c r="E19" s="69"/>
      <c r="F19" s="69"/>
      <c r="G19" s="69"/>
      <c r="H19" s="69"/>
      <c r="I19" s="69"/>
      <c r="J19" s="69"/>
    </row>
    <row r="20" spans="1:10" ht="15.75" hidden="1" x14ac:dyDescent="0.15">
      <c r="A20" s="76" t="s">
        <v>307</v>
      </c>
      <c r="B20" s="77">
        <f>ROUNDUP(23*ROUNDUP(1000*B14*1/66.67,0)+3.8,0)</f>
        <v>115579</v>
      </c>
      <c r="C20" s="69"/>
      <c r="D20" s="69"/>
      <c r="E20" s="69"/>
      <c r="F20" s="69"/>
      <c r="G20" s="69"/>
      <c r="H20" s="69"/>
      <c r="I20" s="69"/>
      <c r="J20" s="69"/>
    </row>
    <row r="21" spans="1:10" ht="15.75" hidden="1" x14ac:dyDescent="0.15">
      <c r="A21" s="78" t="s">
        <v>308</v>
      </c>
      <c r="B21" s="77">
        <f>ROUNDUP(1*B14/66.67*1000,0)</f>
        <v>5025</v>
      </c>
      <c r="C21" s="69"/>
      <c r="D21" s="69"/>
      <c r="E21" s="69"/>
      <c r="F21" s="69"/>
      <c r="G21" s="69"/>
      <c r="H21" s="69"/>
      <c r="I21" s="69"/>
      <c r="J21" s="69"/>
    </row>
    <row r="22" spans="1:10" ht="15.75" hidden="1" x14ac:dyDescent="0.15">
      <c r="A22" s="78" t="s">
        <v>309</v>
      </c>
      <c r="B22" s="77">
        <f>ROUNDUP((1000*B8-1000*B17/75)/1000,0)</f>
        <v>9997</v>
      </c>
      <c r="C22" s="69"/>
      <c r="D22" s="69"/>
      <c r="E22" s="69"/>
      <c r="F22" s="69"/>
      <c r="G22" s="69"/>
      <c r="H22" s="69"/>
      <c r="I22" s="69"/>
      <c r="J22" s="69"/>
    </row>
    <row r="23" spans="1:10" ht="15.75" hidden="1" x14ac:dyDescent="0.15">
      <c r="A23" s="76" t="s">
        <v>310</v>
      </c>
      <c r="B23" s="77">
        <f>IF(B18=1,IF((MAX(B25,B26,B28,B32)-B22)&lt;B25,(IF((MAX(B25,B26,B28,B32)-B22)&gt;=(B25-ROUNDUP(6*B21/1000,0)),1,0)),0),0)</f>
        <v>0</v>
      </c>
      <c r="C23" s="69"/>
      <c r="D23" s="69"/>
      <c r="E23" s="69"/>
      <c r="F23" s="69"/>
      <c r="G23" s="69"/>
      <c r="H23" s="69"/>
      <c r="I23" s="69"/>
      <c r="J23" s="69"/>
    </row>
    <row r="24" spans="1:10" ht="15.75" hidden="1" x14ac:dyDescent="0.15">
      <c r="A24" s="76" t="s">
        <v>311</v>
      </c>
      <c r="B24" s="77">
        <f>IF(B23=1,B25-(MAX(B25,B26,B28,B32)-B22),0)</f>
        <v>0</v>
      </c>
      <c r="C24" s="69"/>
      <c r="D24" s="69"/>
      <c r="E24" s="69"/>
      <c r="F24" s="69"/>
      <c r="G24" s="69"/>
      <c r="H24" s="69"/>
      <c r="I24" s="69"/>
      <c r="J24" s="69"/>
    </row>
    <row r="25" spans="1:10" ht="15.75" hidden="1" x14ac:dyDescent="0.15">
      <c r="A25" s="79" t="s">
        <v>312</v>
      </c>
      <c r="B25" s="80">
        <f>ROUNDUP(((B3*B5+B15+B19)*B21+B20)/1000,0)</f>
        <v>6272</v>
      </c>
      <c r="C25" s="69"/>
      <c r="D25" s="69"/>
      <c r="E25" s="69"/>
      <c r="F25" s="69"/>
      <c r="G25" s="69"/>
      <c r="H25" s="69"/>
      <c r="I25" s="69"/>
      <c r="J25" s="69"/>
    </row>
    <row r="26" spans="1:10" ht="15.75" hidden="1" x14ac:dyDescent="0.15">
      <c r="A26" s="78" t="s">
        <v>313</v>
      </c>
      <c r="B26" s="81">
        <f>ROUNDUP(B8+B9-B17/66.67+3*B21/1000+B20/1000,0)</f>
        <v>10127</v>
      </c>
      <c r="C26" s="69"/>
      <c r="D26" s="69"/>
      <c r="E26" s="69"/>
      <c r="F26" s="69"/>
      <c r="G26" s="69"/>
      <c r="H26" s="69"/>
      <c r="I26" s="69"/>
      <c r="J26" s="69"/>
    </row>
    <row r="27" spans="1:10" ht="15.75" hidden="1" x14ac:dyDescent="0.15">
      <c r="A27" s="78" t="s">
        <v>314</v>
      </c>
      <c r="B27" s="77">
        <f>IF(B12="off",0,1)</f>
        <v>0</v>
      </c>
      <c r="C27" s="69"/>
      <c r="D27" s="69"/>
      <c r="E27" s="69"/>
      <c r="F27" s="69"/>
      <c r="G27" s="69"/>
      <c r="H27" s="69"/>
      <c r="I27" s="69"/>
      <c r="J27" s="69"/>
    </row>
    <row r="28" spans="1:10" ht="15.75" hidden="1" x14ac:dyDescent="0.15">
      <c r="A28" s="78" t="s">
        <v>315</v>
      </c>
      <c r="B28" s="81">
        <f>ROUNDUP((1000000/B13)*B27,0)</f>
        <v>0</v>
      </c>
      <c r="C28" s="69"/>
      <c r="D28" s="69"/>
      <c r="E28" s="69"/>
      <c r="F28" s="69"/>
      <c r="G28" s="69"/>
      <c r="H28" s="69"/>
      <c r="I28" s="69"/>
      <c r="J28" s="69"/>
    </row>
    <row r="29" spans="1:10" ht="15.75" hidden="1" x14ac:dyDescent="0.15">
      <c r="A29" s="76" t="s">
        <v>316</v>
      </c>
      <c r="B29" s="77">
        <v>3950</v>
      </c>
      <c r="C29" s="69"/>
      <c r="D29" s="69"/>
      <c r="E29" s="69"/>
      <c r="F29" s="69"/>
      <c r="G29" s="69"/>
      <c r="H29" s="69"/>
      <c r="I29" s="69"/>
      <c r="J29" s="69"/>
    </row>
    <row r="30" spans="1:10" ht="15.75" hidden="1" x14ac:dyDescent="0.15">
      <c r="A30" s="76" t="s">
        <v>317</v>
      </c>
      <c r="B30" s="77">
        <f>B2*B3*IF(B10=8,1,2)</f>
        <v>2457600</v>
      </c>
      <c r="C30" s="69"/>
      <c r="D30" s="69"/>
      <c r="E30" s="69"/>
      <c r="F30" s="69"/>
      <c r="G30" s="69"/>
      <c r="H30" s="69"/>
      <c r="I30" s="69"/>
      <c r="J30" s="69"/>
    </row>
    <row r="31" spans="1:10" ht="15.75" hidden="1" x14ac:dyDescent="0.15">
      <c r="A31" s="76" t="s">
        <v>318</v>
      </c>
      <c r="B31" s="77">
        <f>52+32+B30</f>
        <v>2457684</v>
      </c>
      <c r="C31" s="69"/>
      <c r="D31" s="69"/>
      <c r="E31" s="69"/>
      <c r="F31" s="69"/>
      <c r="G31" s="69"/>
      <c r="H31" s="69"/>
      <c r="I31" s="69"/>
      <c r="J31" s="69"/>
    </row>
    <row r="32" spans="1:10" ht="15.75" hidden="1" x14ac:dyDescent="0.15">
      <c r="A32" s="78" t="s">
        <v>319</v>
      </c>
      <c r="B32" s="81">
        <f>ROUNDUP(MAX((B31*1000000/B11),B31*10/B29),0)</f>
        <v>8193</v>
      </c>
      <c r="C32" s="69"/>
      <c r="D32" s="69"/>
      <c r="E32" s="69"/>
      <c r="F32" s="69"/>
      <c r="G32" s="69"/>
      <c r="H32" s="69"/>
      <c r="I32" s="69"/>
      <c r="J32" s="69"/>
    </row>
    <row r="33" spans="1:10" ht="15.75" hidden="1" x14ac:dyDescent="0.15">
      <c r="A33" s="76" t="s">
        <v>162</v>
      </c>
      <c r="B33" s="77">
        <f>MAX(B25,B26,B28,B32)+B24</f>
        <v>10127</v>
      </c>
      <c r="C33" s="69"/>
      <c r="D33" s="69"/>
      <c r="E33" s="69"/>
      <c r="F33" s="69"/>
      <c r="G33" s="69"/>
      <c r="H33" s="69"/>
      <c r="I33" s="69"/>
      <c r="J33" s="69"/>
    </row>
    <row r="34" spans="1:10" ht="15.75" x14ac:dyDescent="0.15">
      <c r="A34" s="104" t="s">
        <v>163</v>
      </c>
      <c r="B34" s="104"/>
      <c r="C34" s="69"/>
      <c r="D34" s="69"/>
      <c r="E34" s="69"/>
      <c r="F34" s="69"/>
      <c r="G34" s="69"/>
      <c r="H34" s="69"/>
      <c r="I34" s="69"/>
      <c r="J34" s="69"/>
    </row>
    <row r="35" spans="1:10" ht="27" x14ac:dyDescent="0.15">
      <c r="A35" s="82" t="s">
        <v>164</v>
      </c>
      <c r="B35" s="83">
        <f>1000000/B33</f>
        <v>98.74592673052237</v>
      </c>
      <c r="C35" s="69"/>
      <c r="D35" s="69"/>
      <c r="E35" s="69"/>
      <c r="F35" s="69"/>
      <c r="G35" s="69"/>
      <c r="H35" s="69"/>
      <c r="I35" s="69"/>
      <c r="J35" s="69"/>
    </row>
    <row r="36" spans="1:10" x14ac:dyDescent="0.15">
      <c r="C36" s="84"/>
      <c r="D36" s="69"/>
      <c r="E36" s="69"/>
      <c r="F36" s="69"/>
      <c r="G36" s="69"/>
      <c r="H36" s="69"/>
      <c r="I36" s="69"/>
      <c r="J36" s="69"/>
    </row>
    <row r="37" spans="1:10" x14ac:dyDescent="0.15">
      <c r="C37" s="73"/>
      <c r="D37" s="69"/>
      <c r="E37" s="69"/>
      <c r="F37" s="69"/>
      <c r="G37" s="69"/>
      <c r="H37" s="69"/>
      <c r="I37" s="69"/>
      <c r="J37" s="69"/>
    </row>
    <row r="38" spans="1:10" x14ac:dyDescent="0.15">
      <c r="C38" s="69" t="s">
        <v>320</v>
      </c>
      <c r="D38" s="69"/>
      <c r="E38" s="69"/>
      <c r="F38" s="69"/>
      <c r="G38" s="69"/>
      <c r="H38" s="69"/>
      <c r="I38" s="69"/>
      <c r="J38" s="69"/>
    </row>
    <row r="39" spans="1:10" x14ac:dyDescent="0.15">
      <c r="C39" s="73"/>
      <c r="D39" s="69"/>
      <c r="E39" s="69"/>
      <c r="F39" s="69"/>
      <c r="G39" s="69"/>
      <c r="H39" s="69"/>
      <c r="I39" s="69"/>
      <c r="J39" s="69"/>
    </row>
    <row r="40" spans="1:10" x14ac:dyDescent="0.15">
      <c r="D40" s="69"/>
      <c r="E40" s="69"/>
      <c r="F40" s="69"/>
      <c r="G40" s="69"/>
      <c r="H40" s="69"/>
      <c r="I40" s="69"/>
      <c r="J40" s="69"/>
    </row>
    <row r="41" spans="1:10" x14ac:dyDescent="0.15">
      <c r="D41" s="69"/>
      <c r="E41" s="69"/>
      <c r="F41" s="69"/>
      <c r="G41" s="69"/>
      <c r="H41" s="69"/>
      <c r="I41" s="69"/>
      <c r="J41" s="69"/>
    </row>
    <row r="42" spans="1:10" x14ac:dyDescent="0.15">
      <c r="D42" s="69"/>
      <c r="E42" s="69"/>
      <c r="F42" s="69"/>
      <c r="G42" s="69"/>
      <c r="H42" s="69"/>
      <c r="I42" s="69"/>
      <c r="J42" s="69"/>
    </row>
    <row r="43" spans="1:10" x14ac:dyDescent="0.15">
      <c r="D43" s="69"/>
      <c r="E43" s="69"/>
      <c r="F43" s="69"/>
      <c r="G43" s="69"/>
      <c r="H43" s="69"/>
      <c r="I43" s="69"/>
      <c r="J43" s="69"/>
    </row>
    <row r="44" spans="1:10" x14ac:dyDescent="0.15">
      <c r="D44" s="69"/>
      <c r="E44" s="69"/>
      <c r="F44" s="69"/>
      <c r="G44" s="69"/>
      <c r="H44" s="69"/>
      <c r="I44" s="69"/>
      <c r="J44" s="69"/>
    </row>
  </sheetData>
  <sheetProtection algorithmName="SHA-512" hashValue="5FbsOCe9kYTmGjMAxBZWonCuQXY64nk5meuyNF36DENdxH+PW8XcauKZhI2n7PFYeSjrvwfJwPDzq31l9qj/bA==" saltValue="O8Pf3nzizajS3X6rX09S+g==" spinCount="100000" sheet="1" objects="1" scenarios="1"/>
  <mergeCells count="1">
    <mergeCell ref="A34:B34"/>
  </mergeCells>
  <phoneticPr fontId="8" type="noConversion"/>
  <conditionalFormatting sqref="B2">
    <cfRule type="cellIs" dxfId="33" priority="5" operator="notBetween">
      <formula>8</formula>
      <formula>$G$7</formula>
    </cfRule>
    <cfRule type="cellIs" dxfId="32" priority="6" operator="notBetween">
      <formula>8</formula>
      <formula>$G$15</formula>
    </cfRule>
  </conditionalFormatting>
  <conditionalFormatting sqref="B3">
    <cfRule type="cellIs" dxfId="31" priority="7" operator="notBetween">
      <formula>2</formula>
      <formula>$H$7</formula>
    </cfRule>
    <cfRule type="cellIs" dxfId="30" priority="8" operator="notBetween">
      <formula>2</formula>
      <formula>$H$15</formula>
    </cfRule>
  </conditionalFormatting>
  <conditionalFormatting sqref="B4">
    <cfRule type="expression" dxfId="29" priority="4">
      <formula>AND(B6&gt;1,B4&gt;1)</formula>
    </cfRule>
  </conditionalFormatting>
  <conditionalFormatting sqref="B5">
    <cfRule type="expression" dxfId="28" priority="2">
      <formula>AND(B5&gt;1,B7&gt;1)</formula>
    </cfRule>
  </conditionalFormatting>
  <conditionalFormatting sqref="B6">
    <cfRule type="expression" dxfId="27" priority="3">
      <formula>AND(B6&gt;1,B4&gt;1)</formula>
    </cfRule>
  </conditionalFormatting>
  <conditionalFormatting sqref="B7">
    <cfRule type="expression" dxfId="26" priority="1">
      <formula>AND(B5&gt;1,B7&gt;1)</formula>
    </cfRule>
  </conditionalFormatting>
  <dataValidations count="9">
    <dataValidation type="list" allowBlank="1" showInputMessage="1" showErrorMessage="1" errorTitle="Input parameter error" error="Input range is 1,2,4" sqref="B4:B7">
      <formula1>"1,2,4"</formula1>
    </dataValidation>
    <dataValidation type="custom" allowBlank="1" showInputMessage="1" showErrorMessage="1" errorTitle="参数输入错误" error="输入范围为0.1-10000，步进值为0.1" sqref="B13">
      <formula1>AND(MOD(10*B13,1)=0,B13&gt;=0.1,B13&lt;=10000)</formula1>
    </dataValidation>
    <dataValidation type="list" allowBlank="1" showInputMessage="1" showErrorMessage="1" errorTitle="Input parameter error" error="Input on or off" sqref="B12">
      <formula1>"on,off"</formula1>
    </dataValidation>
    <dataValidation type="custom" allowBlank="1" showInputMessage="1" showErrorMessage="1" errorTitle="Input parameter error" error="8bit mode range from 35000000 to 400000000,step 1000000;_x000a_10bit or 12bit mode range from 70000000 to 400000000,step 1000000" sqref="B11">
      <formula1>OR(AND(B10=8,B11&gt;=35000000,B11&lt;=400000000,MOD(B11,1000000)=0),AND(OR(B10=10,B10=12),B11&gt;=70000000,B11&lt;=400000000,MOD(B11,1000000)=0))</formula1>
    </dataValidation>
    <dataValidation type="whole" allowBlank="1" showInputMessage="1" showErrorMessage="1" errorTitle="Input parameter error" error="Input range from 0 to 5000" sqref="B9">
      <formula1>0</formula1>
      <formula2>5000</formula2>
    </dataValidation>
    <dataValidation type="custom" allowBlank="1" showInputMessage="1" showErrorMessage="1" errorTitle="Input parameter error" error="Input parameter is out of range or cannot be divided by 2" sqref="B3">
      <formula1>AND(MOD(B3,2)=0,B3&gt;=2,B3&lt;=H7/B5,B3&lt;=H7/B7)</formula1>
    </dataValidation>
    <dataValidation type="list" allowBlank="1" showInputMessage="1" showErrorMessage="1" errorTitle="Input parameter error" error="Input 8 or 10 or 12" sqref="B10">
      <formula1>"8,10,12"</formula1>
    </dataValidation>
    <dataValidation type="custom" allowBlank="1" showInputMessage="1" showErrorMessage="1" errorTitle="Input parameter error" error="Input parameter is out of range or cannot be divided by 8" sqref="B2">
      <formula1>AND(MOD(B2,8)=0,B2&gt;=16,B2&lt;=G7/B4,B2&lt;=G7/B6)</formula1>
    </dataValidation>
    <dataValidation type="whole" allowBlank="1" showInputMessage="1" showErrorMessage="1" errorTitle="Input parameter error" error="Input range from 11 to 1000000" sqref="B8">
      <formula1>11</formula1>
      <formula2>1000000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21"/>
  <sheetViews>
    <sheetView zoomScaleNormal="100" workbookViewId="0">
      <selection activeCell="C29" sqref="C29"/>
    </sheetView>
  </sheetViews>
  <sheetFormatPr defaultColWidth="9" defaultRowHeight="13.5" x14ac:dyDescent="0.15"/>
  <cols>
    <col min="1" max="1" width="38.75" style="20" bestFit="1" customWidth="1"/>
    <col min="2" max="2" width="20.125" style="20" customWidth="1"/>
    <col min="3" max="3" width="73.125" style="20" bestFit="1" customWidth="1"/>
    <col min="4" max="5" width="9" style="20"/>
    <col min="6" max="6" width="0" style="20" hidden="1" customWidth="1"/>
    <col min="7" max="7" width="12.75" style="20" hidden="1" customWidth="1"/>
    <col min="8" max="8" width="9.5" style="20" hidden="1" customWidth="1"/>
    <col min="9" max="9" width="9" style="20" hidden="1" customWidth="1"/>
    <col min="10" max="10" width="73.125" style="20" hidden="1" customWidth="1"/>
    <col min="11" max="11" width="65.5" style="20" hidden="1" customWidth="1"/>
    <col min="12" max="12" width="0" style="20" hidden="1" customWidth="1"/>
    <col min="13" max="16384" width="9" style="20"/>
  </cols>
  <sheetData>
    <row r="1" spans="1:11" ht="15.75" x14ac:dyDescent="0.15">
      <c r="A1" s="88" t="s">
        <v>152</v>
      </c>
      <c r="B1" s="89"/>
    </row>
    <row r="2" spans="1:11" ht="15.75" x14ac:dyDescent="0.15">
      <c r="A2" s="12" t="s">
        <v>53</v>
      </c>
      <c r="B2" s="14">
        <v>2048</v>
      </c>
      <c r="C2" s="20" t="str">
        <f>IF(OR(B2&gt;2048/B4,B2&lt;64),LOOKUP(B4,G3:G5,J3:J5),"")</f>
        <v/>
      </c>
      <c r="G2" s="20" t="s">
        <v>153</v>
      </c>
      <c r="H2" s="20" t="s">
        <v>154</v>
      </c>
      <c r="I2" s="20" t="s">
        <v>155</v>
      </c>
    </row>
    <row r="3" spans="1:11" ht="15.75" x14ac:dyDescent="0.15">
      <c r="A3" s="12" t="s">
        <v>156</v>
      </c>
      <c r="B3" s="14">
        <v>1536</v>
      </c>
      <c r="C3" s="20" t="str">
        <f>IF(OR(B3&gt;1536/B5,B3&lt;2),LOOKUP(B5,G3:G5,K3:K5),"")</f>
        <v/>
      </c>
      <c r="G3" s="20">
        <v>1</v>
      </c>
      <c r="H3" s="20">
        <f>8*INT(2048/(8*G3))</f>
        <v>2048</v>
      </c>
      <c r="I3" s="20">
        <f>2*INT(1536/(2*G3))</f>
        <v>1536</v>
      </c>
      <c r="J3" s="20" t="s">
        <v>207</v>
      </c>
      <c r="K3" s="20" t="s">
        <v>208</v>
      </c>
    </row>
    <row r="4" spans="1:11" ht="15.75" x14ac:dyDescent="0.15">
      <c r="A4" s="12" t="s">
        <v>157</v>
      </c>
      <c r="B4" s="14">
        <v>1</v>
      </c>
      <c r="G4" s="20">
        <v>2</v>
      </c>
      <c r="H4" s="20">
        <f>8*INT(2048/(8*G4))</f>
        <v>1024</v>
      </c>
      <c r="I4" s="20">
        <f>2*INT(1536/(2*G4))</f>
        <v>768</v>
      </c>
      <c r="J4" s="20" t="s">
        <v>209</v>
      </c>
      <c r="K4" s="20" t="s">
        <v>210</v>
      </c>
    </row>
    <row r="5" spans="1:11" ht="15.75" x14ac:dyDescent="0.15">
      <c r="A5" s="12" t="s">
        <v>158</v>
      </c>
      <c r="B5" s="14">
        <v>1</v>
      </c>
      <c r="G5" s="20">
        <v>4</v>
      </c>
      <c r="H5" s="20">
        <f>8*INT(2048/(8*G5))</f>
        <v>512</v>
      </c>
      <c r="I5" s="20">
        <f>2*INT(1536/(2*G5))</f>
        <v>384</v>
      </c>
      <c r="J5" s="20" t="s">
        <v>211</v>
      </c>
      <c r="K5" s="20" t="s">
        <v>186</v>
      </c>
    </row>
    <row r="6" spans="1:11" ht="15.75" x14ac:dyDescent="0.15">
      <c r="A6" s="12" t="s">
        <v>23</v>
      </c>
      <c r="B6" s="14">
        <v>10000</v>
      </c>
      <c r="J6" s="20" t="s">
        <v>159</v>
      </c>
    </row>
    <row r="7" spans="1:11" ht="15.75" x14ac:dyDescent="0.15">
      <c r="A7" s="12" t="s">
        <v>20</v>
      </c>
      <c r="B7" s="14">
        <v>8</v>
      </c>
      <c r="H7" s="20">
        <f>2048/B4</f>
        <v>2048</v>
      </c>
      <c r="I7" s="20">
        <f>1536/B5</f>
        <v>1536</v>
      </c>
    </row>
    <row r="8" spans="1:11" ht="15.75" x14ac:dyDescent="0.15">
      <c r="A8" s="12" t="s">
        <v>18</v>
      </c>
      <c r="B8" s="14">
        <v>300000000</v>
      </c>
    </row>
    <row r="9" spans="1:11" ht="15.75" hidden="1" x14ac:dyDescent="0.15">
      <c r="A9" s="39"/>
      <c r="B9" s="14"/>
    </row>
    <row r="10" spans="1:11" ht="15.75" hidden="1" x14ac:dyDescent="0.15">
      <c r="A10" s="12"/>
      <c r="B10" s="14"/>
    </row>
    <row r="11" spans="1:11" ht="15.75" hidden="1" x14ac:dyDescent="0.15">
      <c r="A11" s="12" t="s">
        <v>54</v>
      </c>
      <c r="B11" s="14">
        <f>MAX(INT((B6-13.73)/B14),1)</f>
        <v>1970</v>
      </c>
    </row>
    <row r="12" spans="1:11" ht="15.75" hidden="1" x14ac:dyDescent="0.15">
      <c r="A12" s="12" t="s">
        <v>55</v>
      </c>
      <c r="B12" s="14" t="str">
        <f>IF((B7&lt;=8),"1","2")</f>
        <v>1</v>
      </c>
    </row>
    <row r="13" spans="1:11" ht="15.75" hidden="1" x14ac:dyDescent="0.15">
      <c r="A13" s="12" t="s">
        <v>160</v>
      </c>
      <c r="B13" s="14">
        <f>B2*B3*B12+84</f>
        <v>3145812</v>
      </c>
    </row>
    <row r="14" spans="1:11" ht="15.75" hidden="1" x14ac:dyDescent="0.15">
      <c r="A14" s="12" t="s">
        <v>161</v>
      </c>
      <c r="B14" s="14">
        <f>IF(B7=8,190/37.5,380/37.5)</f>
        <v>5.0666666666666664</v>
      </c>
    </row>
    <row r="15" spans="1:11" ht="15.75" hidden="1" x14ac:dyDescent="0.15">
      <c r="A15" s="12" t="s">
        <v>56</v>
      </c>
      <c r="B15" s="14">
        <f>(B3*B5+38)*B14</f>
        <v>7974.9333333333334</v>
      </c>
    </row>
    <row r="16" spans="1:11" ht="15.75" hidden="1" customHeight="1" x14ac:dyDescent="0.15">
      <c r="A16" s="12" t="s">
        <v>16</v>
      </c>
      <c r="B16" s="14" t="s">
        <v>15</v>
      </c>
    </row>
    <row r="17" spans="1:3" ht="15.75" hidden="1" customHeight="1" x14ac:dyDescent="0.15">
      <c r="A17" s="12" t="s">
        <v>13</v>
      </c>
      <c r="B17" s="14">
        <v>125</v>
      </c>
    </row>
    <row r="18" spans="1:3" ht="15.75" hidden="1" x14ac:dyDescent="0.15">
      <c r="A18" s="12" t="s">
        <v>162</v>
      </c>
      <c r="B18" s="15">
        <f>MAX(B13*1000000/B8,(B11+14)*B14,B15,B14*(IF(B16="off",0,1))*INT(1000*1000/(B14*B17)))</f>
        <v>10486.04</v>
      </c>
    </row>
    <row r="19" spans="1:3" ht="15.75" x14ac:dyDescent="0.15">
      <c r="A19" s="90" t="s">
        <v>163</v>
      </c>
      <c r="B19" s="91"/>
    </row>
    <row r="20" spans="1:3" ht="27" x14ac:dyDescent="0.15">
      <c r="A20" s="16" t="s">
        <v>164</v>
      </c>
      <c r="B20" s="17">
        <f>1000000/B18</f>
        <v>95.364885123459374</v>
      </c>
      <c r="C20" s="20" t="str">
        <f>IF(OR(B3&gt;1536/B5,B3&lt;2,B2&gt;2048/B4,B2&lt;64),J6,"")</f>
        <v/>
      </c>
    </row>
    <row r="21" spans="1:3" ht="13.5" hidden="1" customHeight="1" x14ac:dyDescent="0.15"/>
  </sheetData>
  <sheetProtection algorithmName="SHA-512" hashValue="Ky6E5icisjPvc8dLnxQTIiC8DhzBqstWsVKmtYnkBNIxkifN0T9XigGXIqOtf3MI9mTUGU/lCkkowqVnUE0OMw==" saltValue="AmsP5fnsWqyjfMF+KrdRIA==" spinCount="100000" sheet="1" objects="1" scenarios="1"/>
  <mergeCells count="2">
    <mergeCell ref="A1:B1"/>
    <mergeCell ref="A19:B19"/>
  </mergeCells>
  <phoneticPr fontId="8" type="noConversion"/>
  <conditionalFormatting sqref="B2">
    <cfRule type="cellIs" dxfId="25" priority="2" operator="notBetween">
      <formula>64</formula>
      <formula>$H$7</formula>
    </cfRule>
  </conditionalFormatting>
  <conditionalFormatting sqref="B3">
    <cfRule type="cellIs" dxfId="24" priority="1" operator="notBetween">
      <formula>2</formula>
      <formula>$I$7</formula>
    </cfRule>
  </conditionalFormatting>
  <dataValidations count="8">
    <dataValidation type="list" allowBlank="1" showInputMessage="1" showErrorMessage="1" errorTitle="Input parameter error" error="Input range is 1,2,4" sqref="B4:B5">
      <formula1>"1,2,4"</formula1>
    </dataValidation>
    <dataValidation type="custom" allowBlank="1" showInputMessage="1" showErrorMessage="1" errorTitle="Input parameter error" error="Input range from 0.1 to 10000,step 0.1" sqref="B17">
      <formula1>AND(MOD(10*B17,1)=0,B17&gt;=0.1,B17&lt;=10000)</formula1>
    </dataValidation>
    <dataValidation type="list" allowBlank="1" showDropDown="1" showInputMessage="1" showErrorMessage="1" errorTitle="Input parameter error" error="Input 8 or 10" sqref="B7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8">
      <formula1>OR(AND(B7=8,B8&gt;=35000000,B8&lt;=400000000,MOD(B8,1000000)=0),AND(B7=10,B8&gt;=70000000,B8&lt;=400000000,MOD(B8,1000000)=0))</formula1>
    </dataValidation>
    <dataValidation type="whole" allowBlank="1" showInputMessage="1" showErrorMessage="1" errorTitle="Input parameter error" error="Input range from 20 to 1000000" sqref="B6">
      <formula1>20</formula1>
      <formula2>1000000</formula2>
    </dataValidation>
    <dataValidation type="custom" allowBlank="1" showInputMessage="1" showErrorMessage="1" errorTitle="Input parameter error" error="Input parameter error" sqref="B3">
      <formula1>AND(MOD(B3,2)=0,B3&gt;=2,B3&lt;=1536/B5)</formula1>
    </dataValidation>
    <dataValidation type="custom" allowBlank="1" showInputMessage="1" showErrorMessage="1" errorTitle="Input parameter error" error="Input parameter error" sqref="B2">
      <formula1>AND(MOD(B2,8)=0,B2&gt;=64,B2&lt;=2048/B4)</formula1>
    </dataValidation>
    <dataValidation type="list" allowBlank="1" showInputMessage="1" showErrorMessage="1" errorTitle="Input parameter error" error="Input off or on" sqref="B16">
      <formula1>"off,on"</formula1>
    </dataValidation>
  </dataValidations>
  <pageMargins left="0.7" right="0.7" top="0.75" bottom="0.75" header="0.3" footer="0.3"/>
  <pageSetup orientation="portrait" horizontalDpi="200" verticalDpi="200" copies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B4" sqref="B4"/>
    </sheetView>
  </sheetViews>
  <sheetFormatPr defaultRowHeight="13.5" x14ac:dyDescent="0.15"/>
  <cols>
    <col min="1" max="1" width="40.625" style="28" bestFit="1" customWidth="1"/>
    <col min="2" max="2" width="16.625" style="28" customWidth="1"/>
    <col min="3" max="3" width="16.75" style="27" customWidth="1"/>
    <col min="4" max="5" width="9" style="28"/>
    <col min="6" max="6" width="31" style="28" customWidth="1"/>
    <col min="7" max="7" width="20.75" style="28" hidden="1" customWidth="1"/>
    <col min="8" max="8" width="9" style="28" hidden="1" customWidth="1"/>
    <col min="9" max="9" width="15.125" style="28" hidden="1" customWidth="1"/>
    <col min="10" max="10" width="73.625" style="28" hidden="1" customWidth="1"/>
    <col min="11" max="11" width="64.875" style="28" hidden="1" customWidth="1"/>
    <col min="12" max="12" width="24.125" style="28" customWidth="1"/>
    <col min="13" max="13" width="24.75" style="28" customWidth="1"/>
    <col min="14" max="16384" width="9" style="28"/>
  </cols>
  <sheetData>
    <row r="1" spans="1:13" ht="15.75" x14ac:dyDescent="0.15">
      <c r="A1" s="88" t="s">
        <v>119</v>
      </c>
      <c r="B1" s="89"/>
    </row>
    <row r="2" spans="1:13" ht="15.75" x14ac:dyDescent="0.15">
      <c r="A2" s="7" t="s">
        <v>53</v>
      </c>
      <c r="B2" s="30">
        <v>2048</v>
      </c>
      <c r="C2" s="27" t="str">
        <f>IF(AND(B4&gt;1,OR(B6&gt;1,B7&gt;1)),"Please confirm the belowing settings first",IF(OR(B2&gt;2048/B6,B2&lt;16),LOOKUP(B6,G3:G5,J3:J5),IF(B4=2,IF(OR(B2&gt;2048/B4,B2&lt;2048/B4),J11,""),"")))</f>
        <v/>
      </c>
      <c r="G2" s="28" t="s">
        <v>153</v>
      </c>
      <c r="H2" s="28" t="s">
        <v>154</v>
      </c>
      <c r="I2" s="28" t="s">
        <v>155</v>
      </c>
    </row>
    <row r="3" spans="1:13" ht="15.75" x14ac:dyDescent="0.15">
      <c r="A3" s="7" t="s">
        <v>156</v>
      </c>
      <c r="B3" s="30">
        <v>1536</v>
      </c>
      <c r="C3" s="27" t="str">
        <f>IF(AND(B4&gt;1,OR(B6&gt;1,B7&gt;1)),"Please confirm the belowing settings first",IF(OR(B3&gt;1536/B7,B3&lt;2),LOOKUP(B7,G3:G5,K3:K5),IF(B4=2,IF(OR(B3&gt;1536/B4,B3&lt;1536/B4),K11,""),"")))</f>
        <v/>
      </c>
      <c r="G3" s="28">
        <v>1</v>
      </c>
      <c r="H3" s="28">
        <f>8*INT(H7/(8*G3))</f>
        <v>2048</v>
      </c>
      <c r="I3" s="28">
        <f>2*INT(I7/(2*G3))</f>
        <v>1536</v>
      </c>
      <c r="J3" s="37" t="s">
        <v>179</v>
      </c>
      <c r="K3" s="37" t="s">
        <v>180</v>
      </c>
    </row>
    <row r="4" spans="1:13" ht="15.75" x14ac:dyDescent="0.15">
      <c r="A4" s="12" t="s">
        <v>181</v>
      </c>
      <c r="B4" s="14">
        <v>1</v>
      </c>
      <c r="G4" s="28">
        <v>2</v>
      </c>
      <c r="H4" s="28">
        <f>8*INT(H7/(8*G4))</f>
        <v>1024</v>
      </c>
      <c r="I4" s="28">
        <f>2*INT(I7/(2*G4))</f>
        <v>768</v>
      </c>
      <c r="J4" s="37" t="s">
        <v>182</v>
      </c>
      <c r="K4" s="37" t="s">
        <v>183</v>
      </c>
      <c r="L4" s="37"/>
      <c r="M4" s="31"/>
    </row>
    <row r="5" spans="1:13" ht="15.75" x14ac:dyDescent="0.15">
      <c r="A5" s="12" t="s">
        <v>184</v>
      </c>
      <c r="B5" s="15">
        <f>B4</f>
        <v>1</v>
      </c>
      <c r="G5" s="28">
        <v>4</v>
      </c>
      <c r="H5" s="28">
        <f>8*INT(H7/(8*G5))</f>
        <v>512</v>
      </c>
      <c r="I5" s="28">
        <f>2*INT(I7/(2*G5))</f>
        <v>384</v>
      </c>
      <c r="J5" s="37" t="s">
        <v>185</v>
      </c>
      <c r="K5" s="37" t="s">
        <v>186</v>
      </c>
      <c r="L5" s="31"/>
      <c r="M5" s="31"/>
    </row>
    <row r="6" spans="1:13" ht="15.75" x14ac:dyDescent="0.15">
      <c r="A6" s="29" t="s">
        <v>157</v>
      </c>
      <c r="B6" s="14">
        <v>1</v>
      </c>
      <c r="C6" s="27" t="str">
        <f>IF(AND(B6&gt;1,B4&gt;1),"The binning and skipping levels are not set to be greater than 2 at the same time","")</f>
        <v/>
      </c>
      <c r="J6" s="28" t="s">
        <v>187</v>
      </c>
      <c r="L6" s="31"/>
      <c r="M6" s="31"/>
    </row>
    <row r="7" spans="1:13" ht="15.75" x14ac:dyDescent="0.15">
      <c r="A7" s="29" t="s">
        <v>158</v>
      </c>
      <c r="B7" s="14">
        <v>1</v>
      </c>
      <c r="C7" s="27" t="str">
        <f>IF(AND(B7&gt;1,B5&gt;1),"The binning and skipping levels are not set to be greater than 2 at the same time","")</f>
        <v/>
      </c>
      <c r="H7" s="28">
        <v>2048</v>
      </c>
      <c r="I7" s="28">
        <v>1536</v>
      </c>
      <c r="L7" s="31"/>
      <c r="M7" s="31"/>
    </row>
    <row r="8" spans="1:13" ht="15.75" x14ac:dyDescent="0.15">
      <c r="A8" s="12" t="s">
        <v>176</v>
      </c>
      <c r="B8" s="14" t="s">
        <v>177</v>
      </c>
      <c r="L8" s="31"/>
      <c r="M8" s="31"/>
    </row>
    <row r="9" spans="1:13" ht="15.75" x14ac:dyDescent="0.15">
      <c r="A9" s="7" t="s">
        <v>23</v>
      </c>
      <c r="B9" s="14">
        <v>10000</v>
      </c>
      <c r="C9" s="27" t="str">
        <f>IF(AND(B8="UltraShort",B9&gt;100),"exposure time of ultrashort should not be more than 100us!",IF(AND(B8="Standard",B9&lt;20),"exposure time of standard should not be less than 20us!",""))</f>
        <v/>
      </c>
      <c r="G9" s="20" t="s">
        <v>188</v>
      </c>
      <c r="H9" s="20" t="s">
        <v>189</v>
      </c>
      <c r="I9" s="20" t="s">
        <v>190</v>
      </c>
      <c r="J9" s="20"/>
      <c r="K9" s="20"/>
      <c r="L9" s="31"/>
      <c r="M9" s="31"/>
    </row>
    <row r="10" spans="1:13" ht="15.75" x14ac:dyDescent="0.15">
      <c r="A10" s="7" t="s">
        <v>191</v>
      </c>
      <c r="B10" s="14">
        <v>0</v>
      </c>
      <c r="G10" s="20">
        <v>1</v>
      </c>
      <c r="H10" s="20">
        <v>2048</v>
      </c>
      <c r="I10" s="20">
        <v>1536</v>
      </c>
      <c r="J10" s="20" t="s">
        <v>192</v>
      </c>
      <c r="K10" s="20" t="s">
        <v>193</v>
      </c>
      <c r="L10" s="31"/>
      <c r="M10" s="31"/>
    </row>
    <row r="11" spans="1:13" ht="15.75" x14ac:dyDescent="0.15">
      <c r="A11" s="7" t="s">
        <v>204</v>
      </c>
      <c r="B11" s="14">
        <v>8</v>
      </c>
      <c r="G11" s="20">
        <v>2</v>
      </c>
      <c r="H11" s="20">
        <v>1024</v>
      </c>
      <c r="I11" s="20">
        <v>768</v>
      </c>
      <c r="J11" s="20" t="s">
        <v>194</v>
      </c>
      <c r="K11" s="20" t="s">
        <v>195</v>
      </c>
      <c r="L11" s="31"/>
      <c r="M11" s="31"/>
    </row>
    <row r="12" spans="1:13" ht="15.75" x14ac:dyDescent="0.15">
      <c r="A12" s="7" t="s">
        <v>205</v>
      </c>
      <c r="B12" s="14" t="s">
        <v>206</v>
      </c>
      <c r="C12" s="27" t="str">
        <f>IF(AND(B11=G23,B12="Bpp12"),J23,IF(AND(B11=G24,B12&lt;&gt;"Bpp10"),J24,IF(AND(B11=G25,B12&lt;&gt;"Bpp12"),J25,"")))</f>
        <v/>
      </c>
      <c r="G12" s="20"/>
      <c r="H12" s="20"/>
      <c r="I12" s="20"/>
      <c r="J12" s="32" t="s">
        <v>196</v>
      </c>
      <c r="K12" s="20"/>
    </row>
    <row r="13" spans="1:13" ht="15.75" x14ac:dyDescent="0.15">
      <c r="A13" s="7" t="s">
        <v>18</v>
      </c>
      <c r="B13" s="14">
        <v>300000000</v>
      </c>
      <c r="G13" s="20"/>
      <c r="H13" s="20">
        <v>2048</v>
      </c>
      <c r="I13" s="20">
        <v>1536</v>
      </c>
      <c r="J13" s="20"/>
      <c r="K13" s="20"/>
    </row>
    <row r="14" spans="1:13" ht="15.75" hidden="1" x14ac:dyDescent="0.15">
      <c r="A14" s="7" t="s">
        <v>54</v>
      </c>
      <c r="B14" s="30">
        <f>IF(B8="Standard",MAX(ROUNDUP((B9-13.73)/B17,0),1),IF(B9&gt;14,ROUNDUP((B9-13.73),0),1))</f>
        <v>2407</v>
      </c>
      <c r="G14" s="20"/>
      <c r="H14" s="20"/>
      <c r="I14" s="20"/>
      <c r="J14" s="20"/>
      <c r="K14" s="20"/>
    </row>
    <row r="15" spans="1:13" ht="15.75" hidden="1" x14ac:dyDescent="0.15">
      <c r="A15" s="7" t="s">
        <v>55</v>
      </c>
      <c r="B15" s="30" t="str">
        <f>IF((B11&lt;=8),"1","2")</f>
        <v>1</v>
      </c>
      <c r="G15" s="20"/>
      <c r="H15" s="20"/>
      <c r="I15" s="20"/>
      <c r="J15" s="33"/>
      <c r="K15" s="20"/>
    </row>
    <row r="16" spans="1:13" ht="15.75" hidden="1" x14ac:dyDescent="0.15">
      <c r="A16" s="7" t="s">
        <v>160</v>
      </c>
      <c r="B16" s="30">
        <f>B2*B3*B15+84</f>
        <v>3145812</v>
      </c>
      <c r="G16" s="20"/>
      <c r="H16" s="20"/>
      <c r="I16" s="20" t="s">
        <v>197</v>
      </c>
      <c r="J16" s="20">
        <f>IF(AND(H27=1,H28=0),219,IF(AND(H27=1,H28=1),248,IF(AND(H27=1,H28=2),496,IF(AND(H27=1,H28=3),798,IF(AND(H27=0,H28=0),312,IF(AND(H27=0,H28=1),381,IF(AND(H27=0,H28=2),762,IF(AND(H27=0,H28=3),894,IF(AND(H27=3,H28=0),109.6875,IF(AND(H27=3,H28=1),123.75,IF(AND(H27=3,H28=2),247.5,IF(AND(H27=3,H28=3),397.5,IF(AND(H27=2,H28=0),155.625,IF(AND(H27=2,H28=1),190.3125,IF(AND(H27=2,H28=2),380.625,IF(AND(H27=2,H28=3),444.375))))))))))))))))</f>
        <v>155.625</v>
      </c>
      <c r="K16" s="20"/>
    </row>
    <row r="17" spans="1:11" ht="15.75" hidden="1" x14ac:dyDescent="0.15">
      <c r="A17" s="7" t="s">
        <v>161</v>
      </c>
      <c r="B17" s="30">
        <f>IF(B8="Standard",ROUNDUP(J16/37.5*1000,10)/1000,ROUNDUP(J16/75*1000,10)/1000)</f>
        <v>4.1500000000000004</v>
      </c>
      <c r="G17" s="20"/>
      <c r="H17" s="20"/>
      <c r="I17" s="20" t="s">
        <v>198</v>
      </c>
      <c r="J17" s="20">
        <f>IF(B8="Standard",ROUNDUP((B14+14)*B17,0)+ROUNDUP(B10/B17,0)*B17,B14+ROUNDUP((B3*B7+38)*B17+10,0)+B10+ROUNDUP(J21,0))</f>
        <v>10048</v>
      </c>
      <c r="K17" s="20"/>
    </row>
    <row r="18" spans="1:11" ht="15.75" hidden="1" x14ac:dyDescent="0.15">
      <c r="A18" s="7" t="s">
        <v>56</v>
      </c>
      <c r="B18" s="30">
        <f>IF(B8="Standard",(B3*B7+38)*B17,ROUNDUP((B3*B7+38)*B17,0)+10)</f>
        <v>6532.1</v>
      </c>
      <c r="G18"/>
      <c r="H18"/>
      <c r="I18" t="s">
        <v>199</v>
      </c>
      <c r="J18">
        <f>IF(B8="Standard",ROUNDUP((B3*B7+38)*B17,0),ROUNDUP((B3*B7+38)*B17,0)+10)</f>
        <v>6533</v>
      </c>
      <c r="K18"/>
    </row>
    <row r="19" spans="1:11" ht="15.75" x14ac:dyDescent="0.15">
      <c r="A19" s="7" t="s">
        <v>16</v>
      </c>
      <c r="B19" s="30" t="s">
        <v>15</v>
      </c>
      <c r="G19"/>
      <c r="H19"/>
      <c r="I19" s="20" t="s">
        <v>200</v>
      </c>
      <c r="J19" s="28">
        <f>IF(B8="Standard",ROUNDUP(MAX(ROUNDUP(B16*1000000/397000000/B17,0),ROUNDUP(B16*1000000/B13/B17,0))*B17,0),MAX(ROUNDUP(B16*1000000/397000000,0),ROUNDUP(B16*1000000/B13,0)))</f>
        <v>10488</v>
      </c>
      <c r="K19"/>
    </row>
    <row r="20" spans="1:11" ht="15.75" x14ac:dyDescent="0.15">
      <c r="A20" s="7" t="s">
        <v>13</v>
      </c>
      <c r="B20" s="30">
        <v>125</v>
      </c>
      <c r="G20"/>
      <c r="H20"/>
      <c r="I20" s="20" t="s">
        <v>201</v>
      </c>
      <c r="J20">
        <f>ROUNDUP(IF(B8="Standard",B17*(IF(B19="off",0,1))*ROUNDUP(1000*1000/(B17*B20),0),(IF(B19="off",0,1))*ROUNDUP(1000*1000/B20,0)),0)</f>
        <v>0</v>
      </c>
      <c r="K20"/>
    </row>
    <row r="21" spans="1:11" ht="15.75" hidden="1" x14ac:dyDescent="0.15">
      <c r="A21" s="7" t="s">
        <v>162</v>
      </c>
      <c r="B21" s="34">
        <f>MAX(J17,J18,J19,J20)</f>
        <v>10488</v>
      </c>
      <c r="I21" s="20" t="s">
        <v>178</v>
      </c>
      <c r="J21">
        <f>IF(AND(B8="UltraShort",B9&lt;=13),14.4,13.73)</f>
        <v>13.73</v>
      </c>
    </row>
    <row r="22" spans="1:11" ht="15.75" x14ac:dyDescent="0.15">
      <c r="A22" s="90" t="s">
        <v>137</v>
      </c>
      <c r="B22" s="91"/>
      <c r="G22" s="20" t="s">
        <v>212</v>
      </c>
      <c r="H22" s="20" t="s">
        <v>213</v>
      </c>
      <c r="I22" s="20"/>
      <c r="J22" s="20"/>
    </row>
    <row r="23" spans="1:11" ht="27" x14ac:dyDescent="0.15">
      <c r="A23" s="35" t="s">
        <v>164</v>
      </c>
      <c r="B23" s="36">
        <f>1000000/B21</f>
        <v>95.347063310450039</v>
      </c>
      <c r="C23" s="27" t="str">
        <f>IF(OR(B3&gt;1536/B7,B3&lt;2,B2&gt;2048/B6,B2&lt;2),J6,IF(B4=2,IF(OR(B2&gt;2048/B4,B2&lt;2048/B4),J12,""),""))</f>
        <v/>
      </c>
      <c r="G23" s="20">
        <v>8</v>
      </c>
      <c r="H23" s="20" t="s">
        <v>214</v>
      </c>
      <c r="I23" s="20" t="s">
        <v>215</v>
      </c>
      <c r="J23" s="20" t="s">
        <v>220</v>
      </c>
    </row>
    <row r="24" spans="1:11" x14ac:dyDescent="0.15">
      <c r="G24" s="20">
        <v>10</v>
      </c>
      <c r="H24" s="20" t="s">
        <v>216</v>
      </c>
      <c r="I24" s="20"/>
      <c r="J24" s="20" t="s">
        <v>217</v>
      </c>
    </row>
    <row r="25" spans="1:11" x14ac:dyDescent="0.15">
      <c r="G25" s="20">
        <v>12</v>
      </c>
      <c r="H25" s="20" t="s">
        <v>218</v>
      </c>
      <c r="I25" s="20"/>
      <c r="J25" s="20" t="s">
        <v>219</v>
      </c>
    </row>
    <row r="27" spans="1:11" x14ac:dyDescent="0.15">
      <c r="G27" s="28" t="s">
        <v>202</v>
      </c>
      <c r="H27" s="28">
        <f>IF(AND(B8="UltraShort",B4=1,B5=1),0,IF(AND(B8="UltraShort",B4=2,B5=2),1,IF(AND(B8="Standard",B4=1,B5=1),2,IF(AND(B8="Standard",B4=2,B5=2),3,0))))</f>
        <v>2</v>
      </c>
    </row>
    <row r="28" spans="1:11" x14ac:dyDescent="0.15">
      <c r="G28" s="38" t="s">
        <v>203</v>
      </c>
      <c r="H28" s="28">
        <f>IF(AND(B11=8,B12="Bpp8"),0,IF(AND(B11=8,B12="Bpp10"),1,IF(AND(B11=10,B12="Bpp10"),2,IF(AND(B11=12,B12="Bpp12"),3,0))))</f>
        <v>0</v>
      </c>
    </row>
  </sheetData>
  <sheetProtection algorithmName="SHA-512" hashValue="OPDHux6VpjyYUzsKxY35VX8qSlu5Jw+dQdZDTc0V4J/SxyyGpZVzXBg9uy7k9Mp4XzhG4IlZ3fM/W/4ebaNQJQ==" saltValue="3E4JnDnbYcqtLnO31K9vWw==" spinCount="100000" sheet="1" objects="1" scenarios="1" selectLockedCells="1"/>
  <mergeCells count="2">
    <mergeCell ref="A1:B1"/>
    <mergeCell ref="A22:B22"/>
  </mergeCells>
  <phoneticPr fontId="8" type="noConversion"/>
  <conditionalFormatting sqref="B2">
    <cfRule type="cellIs" dxfId="23" priority="4" operator="notBetween">
      <formula>16</formula>
      <formula>$H$7</formula>
    </cfRule>
  </conditionalFormatting>
  <conditionalFormatting sqref="B3">
    <cfRule type="cellIs" dxfId="22" priority="3" operator="notBetween">
      <formula>2</formula>
      <formula>$I$7</formula>
    </cfRule>
  </conditionalFormatting>
  <conditionalFormatting sqref="B6">
    <cfRule type="expression" dxfId="21" priority="1">
      <formula>AND(#REF!&gt;1,B6&gt;1)</formula>
    </cfRule>
  </conditionalFormatting>
  <conditionalFormatting sqref="B7">
    <cfRule type="expression" dxfId="20" priority="2">
      <formula>AND(B7&gt;1,#REF!&gt;1)</formula>
    </cfRule>
  </conditionalFormatting>
  <dataValidations count="12">
    <dataValidation type="list" allowBlank="1" showInputMessage="1" showErrorMessage="1" errorTitle="Input parameter error" error="Input Bpp8 or Bpp10 or Bpp12" sqref="B12">
      <formula1>"Bpp8,Bpp10,Bpp12"</formula1>
    </dataValidation>
    <dataValidation type="list" allowBlank="1" showInputMessage="1" showErrorMessage="1" errorTitle="Input parameter error" error="Input 8 or 10 or 12" sqref="B11">
      <formula1>"8,10,12"</formula1>
    </dataValidation>
    <dataValidation type="custom" allowBlank="1" showInputMessage="1" showErrorMessage="1" errorTitle="Input parameter error" error="Input range from 0.1 to 10000,step 0.1" sqref="B20">
      <formula1>AND(MOD(10*B20,1)=0,B20&gt;=0.1,B20&lt;=10000)</formula1>
    </dataValidation>
    <dataValidation type="list" allowBlank="1" showInputMessage="1" showErrorMessage="1" errorTitle="Input parameter error" error="Input on or off" sqref="B19">
      <formula1>"on,off"</formula1>
    </dataValidation>
    <dataValidation type="custom" allowBlank="1" showInputMessage="1" showErrorMessage="1" errorTitle="Input parameter error" error="Input parameter error,Input range from 16 to 2048,and is an integer multiple of 8" sqref="B2">
      <formula1>AND(MOD(B2,8)=0,B2&gt;=16,B2&lt;=2048/B4,B2&lt;=2048/B6)</formula1>
    </dataValidation>
    <dataValidation type="custom" allowBlank="1" showInputMessage="1" showErrorMessage="1" errorTitle="Input parameter error" error="Input parameter error,Input range from 2 to 1536,and is an integer multiple of 2" sqref="B3">
      <formula1>AND(MOD(B3,2)=0,B3&gt;=2,B3&lt;=1536/B5,B3&lt;=1536/B7)</formula1>
    </dataValidation>
    <dataValidation type="list" allowBlank="1" showInputMessage="1" showErrorMessage="1" errorTitle="Input parameter error" error="Input range is 1,2" sqref="B4:B5">
      <formula1>"1,2"</formula1>
    </dataValidation>
    <dataValidation type="list" allowBlank="1" showInputMessage="1" showErrorMessage="1" errorTitle="Input parameter error" error="Input Standard or UltraShort" sqref="B8">
      <formula1>"Standard,UltraShort"</formula1>
    </dataValidation>
    <dataValidation type="list" allowBlank="1" showInputMessage="1" showErrorMessage="1" errorTitle="Input parameter error" error="Input range is 1,2,4" sqref="B6:B7">
      <formula1>"1,2,4"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9">
      <formula1>OR(AND(B8="UltraShort",B9&gt;=1,B9&lt;=100),AND(B8="Standard",B9&gt;=20,B9&lt;=1000000))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3">
      <formula1>OR(AND(B11=8,B13&gt;=35000000,B13&lt;=400000000,MOD(B13,1000000)=0),AND(B11=10,B13&gt;=70000000,B13&lt;=400000000,MOD(B13,1000000)=0))</formula1>
    </dataValidation>
    <dataValidation type="whole" allowBlank="1" showInputMessage="1" showErrorMessage="1" error="输入范围0-5000us" sqref="B10">
      <formula1>0</formula1>
      <formula2>5000</formula2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2" sqref="B2"/>
    </sheetView>
  </sheetViews>
  <sheetFormatPr defaultColWidth="9" defaultRowHeight="13.5" x14ac:dyDescent="0.15"/>
  <cols>
    <col min="1" max="1" width="36.75" style="111" customWidth="1"/>
    <col min="2" max="2" width="17.125" style="111" customWidth="1"/>
    <col min="3" max="3" width="73.625" style="111" customWidth="1"/>
    <col min="4" max="4" width="9" style="111" customWidth="1"/>
    <col min="5" max="5" width="20" style="111" customWidth="1"/>
    <col min="6" max="6" width="18.125" style="111" hidden="1" customWidth="1"/>
    <col min="7" max="7" width="18" style="111" hidden="1" customWidth="1"/>
    <col min="8" max="8" width="22.125" style="111" hidden="1" customWidth="1"/>
    <col min="9" max="9" width="32.375" style="111" hidden="1" customWidth="1"/>
    <col min="10" max="10" width="24.625" style="111" hidden="1" customWidth="1"/>
    <col min="11" max="15" width="9" style="111" customWidth="1"/>
    <col min="16" max="16384" width="9" style="111"/>
  </cols>
  <sheetData>
    <row r="1" spans="1:10" ht="15.75" x14ac:dyDescent="0.15">
      <c r="A1" s="108" t="s">
        <v>152</v>
      </c>
      <c r="B1" s="109"/>
      <c r="C1" s="110"/>
      <c r="D1" s="110"/>
      <c r="E1" s="110"/>
      <c r="F1" s="110"/>
      <c r="G1" s="110"/>
      <c r="H1" s="110"/>
      <c r="I1" s="110"/>
      <c r="J1" s="110"/>
    </row>
    <row r="2" spans="1:10" ht="15.75" x14ac:dyDescent="0.15">
      <c r="A2" s="71" t="s">
        <v>53</v>
      </c>
      <c r="B2" s="112">
        <v>2048</v>
      </c>
      <c r="C2" s="113" t="str">
        <f>IF(OR(B2&gt;2048/B5,B2&lt;8),LOOKUP(B5,F3:F5,I3:I5),IF(OR(B2&gt;2048/B7,B2&lt;8),LOOKUP(B7,F13:F15,I13:I15),""))</f>
        <v/>
      </c>
      <c r="D2" s="110"/>
      <c r="E2" s="110"/>
      <c r="F2" s="110" t="s">
        <v>153</v>
      </c>
      <c r="G2" s="110" t="s">
        <v>154</v>
      </c>
      <c r="H2" s="110" t="s">
        <v>155</v>
      </c>
      <c r="I2" s="110"/>
      <c r="J2" s="110"/>
    </row>
    <row r="3" spans="1:10" ht="15.75" x14ac:dyDescent="0.15">
      <c r="A3" s="71" t="s">
        <v>156</v>
      </c>
      <c r="B3" s="112">
        <v>1536</v>
      </c>
      <c r="C3" s="113" t="str">
        <f>IF(OR(B3&gt;1536/B6,B3&lt;4),LOOKUP(B6,F3:F5,J3:J5),IF(OR(B3&gt;1536/B8,B3&lt;4),LOOKUP(B8,F13:F15,J13:J15),""))</f>
        <v/>
      </c>
      <c r="D3" s="110"/>
      <c r="E3" s="110"/>
      <c r="F3" s="110">
        <v>1</v>
      </c>
      <c r="G3" s="110">
        <v>2048</v>
      </c>
      <c r="H3" s="110">
        <v>1536</v>
      </c>
      <c r="I3" s="114" t="s">
        <v>323</v>
      </c>
      <c r="J3" s="114" t="s">
        <v>324</v>
      </c>
    </row>
    <row r="4" spans="1:10" ht="15.75" x14ac:dyDescent="0.15">
      <c r="A4" s="71" t="s">
        <v>325</v>
      </c>
      <c r="B4" s="112" t="s">
        <v>326</v>
      </c>
      <c r="C4" s="113" t="str">
        <f>IF(B4="Region0","","Only monochrome cameras support this feature!")</f>
        <v/>
      </c>
      <c r="D4" s="110"/>
      <c r="E4" s="110"/>
      <c r="F4" s="110">
        <v>2</v>
      </c>
      <c r="G4" s="110">
        <v>1024</v>
      </c>
      <c r="H4" s="110">
        <v>768</v>
      </c>
      <c r="I4" s="114" t="s">
        <v>327</v>
      </c>
      <c r="J4" s="114" t="s">
        <v>328</v>
      </c>
    </row>
    <row r="5" spans="1:10" ht="15.75" x14ac:dyDescent="0.15">
      <c r="A5" s="71" t="s">
        <v>157</v>
      </c>
      <c r="B5" s="115">
        <v>1</v>
      </c>
      <c r="C5" s="113" t="str">
        <f>IF(AND(B5&gt;1,B7&gt;1),"Horizontal binnning and skipping cannot be set to be greater than 2 at the same time",IF(AND(B4="Sensor",B5&gt;1),"Binning's selection of Sensor mode only supports a horizontal coefficient of 1",""))</f>
        <v/>
      </c>
      <c r="D5" s="110"/>
      <c r="E5" s="110"/>
      <c r="F5" s="110">
        <v>4</v>
      </c>
      <c r="G5" s="110">
        <v>512</v>
      </c>
      <c r="H5" s="110">
        <v>384</v>
      </c>
      <c r="I5" s="114" t="s">
        <v>329</v>
      </c>
      <c r="J5" s="114" t="s">
        <v>330</v>
      </c>
    </row>
    <row r="6" spans="1:10" ht="15.75" x14ac:dyDescent="0.15">
      <c r="A6" s="71" t="s">
        <v>158</v>
      </c>
      <c r="B6" s="115">
        <v>1</v>
      </c>
      <c r="C6" s="113" t="str">
        <f>IF(AND(B6&gt;1,B8&gt;1),"Vertical binnning and skipping cannot be set to be greater than 2 at the same time",IF(AND(B4="Sensor",B6&gt;2),"Binning's selection of Sensor mode only supports vertical coefficients of 1 or 2",""))</f>
        <v/>
      </c>
      <c r="D6" s="110"/>
      <c r="E6" s="110"/>
      <c r="F6" s="110"/>
      <c r="G6" s="110"/>
      <c r="H6" s="110"/>
      <c r="I6" s="110" t="s">
        <v>159</v>
      </c>
      <c r="J6" s="110"/>
    </row>
    <row r="7" spans="1:10" ht="15.75" x14ac:dyDescent="0.15">
      <c r="A7" s="71" t="s">
        <v>297</v>
      </c>
      <c r="B7" s="115">
        <v>1</v>
      </c>
      <c r="D7" s="110"/>
      <c r="E7" s="110"/>
      <c r="F7" s="110"/>
      <c r="G7" s="110">
        <v>2048</v>
      </c>
      <c r="H7" s="110">
        <v>1536</v>
      </c>
      <c r="I7" s="110"/>
      <c r="J7" s="110"/>
    </row>
    <row r="8" spans="1:10" ht="15.75" x14ac:dyDescent="0.15">
      <c r="A8" s="71" t="s">
        <v>298</v>
      </c>
      <c r="B8" s="115">
        <v>1</v>
      </c>
      <c r="C8" s="110"/>
      <c r="D8" s="110"/>
      <c r="E8" s="110"/>
      <c r="F8" s="110"/>
      <c r="G8" s="110"/>
      <c r="H8" s="110"/>
      <c r="I8" s="110"/>
      <c r="J8" s="110"/>
    </row>
    <row r="9" spans="1:10" ht="15.75" x14ac:dyDescent="0.15">
      <c r="A9" s="71" t="s">
        <v>331</v>
      </c>
      <c r="B9" s="115" t="s">
        <v>177</v>
      </c>
      <c r="C9" s="110"/>
      <c r="D9" s="110"/>
      <c r="E9" s="110"/>
      <c r="F9" s="114" t="s">
        <v>332</v>
      </c>
      <c r="G9" s="110"/>
      <c r="H9" s="110"/>
      <c r="I9" s="110"/>
      <c r="J9" s="110"/>
    </row>
    <row r="10" spans="1:10" ht="15.75" x14ac:dyDescent="0.15">
      <c r="A10" s="71" t="s">
        <v>23</v>
      </c>
      <c r="B10" s="115">
        <v>10000</v>
      </c>
      <c r="C10" s="113" t="str">
        <f>IF(AND(B9="UltraShort",B10&gt;100),"exposure time of ultrashort should not be more than 100us!",IF(AND(B9="Standard",B10&lt;20),"exposure time of standard should not be less than 20us!",""))</f>
        <v/>
      </c>
      <c r="D10" s="110"/>
      <c r="E10" s="110"/>
      <c r="F10" s="110">
        <f>IF(AND(B4="Sensor",B6=2),1,B6)</f>
        <v>1</v>
      </c>
      <c r="G10" s="110"/>
      <c r="H10" s="110"/>
      <c r="I10" s="110"/>
      <c r="J10" s="110"/>
    </row>
    <row r="11" spans="1:10" ht="15.75" x14ac:dyDescent="0.15">
      <c r="A11" s="71" t="s">
        <v>299</v>
      </c>
      <c r="B11" s="115">
        <v>0</v>
      </c>
      <c r="D11" s="110"/>
      <c r="E11" s="110"/>
      <c r="F11" s="110"/>
      <c r="G11" s="110"/>
      <c r="H11" s="110"/>
      <c r="I11" s="110"/>
      <c r="J11" s="110"/>
    </row>
    <row r="12" spans="1:10" ht="15.75" x14ac:dyDescent="0.15">
      <c r="A12" s="71" t="s">
        <v>333</v>
      </c>
      <c r="B12" s="115">
        <v>8</v>
      </c>
      <c r="C12" s="110"/>
      <c r="D12" s="110"/>
      <c r="E12" s="110"/>
      <c r="F12" s="110" t="s">
        <v>301</v>
      </c>
      <c r="G12" s="110" t="s">
        <v>154</v>
      </c>
      <c r="H12" s="110" t="s">
        <v>155</v>
      </c>
      <c r="I12" s="110"/>
      <c r="J12" s="110"/>
    </row>
    <row r="13" spans="1:10" ht="15.75" x14ac:dyDescent="0.15">
      <c r="A13" s="71" t="s">
        <v>18</v>
      </c>
      <c r="B13" s="115">
        <v>300000000</v>
      </c>
      <c r="C13" s="110"/>
      <c r="D13" s="110"/>
      <c r="E13" s="110"/>
      <c r="F13" s="110">
        <v>1</v>
      </c>
      <c r="G13" s="110">
        <v>2048</v>
      </c>
      <c r="H13" s="110">
        <v>1536</v>
      </c>
      <c r="I13" s="114" t="s">
        <v>334</v>
      </c>
      <c r="J13" s="114" t="s">
        <v>335</v>
      </c>
    </row>
    <row r="14" spans="1:10" ht="15.75" hidden="1" x14ac:dyDescent="0.15">
      <c r="A14" s="116"/>
      <c r="B14" s="117"/>
      <c r="C14" s="110"/>
      <c r="D14" s="110"/>
      <c r="E14" s="110"/>
      <c r="F14" s="110">
        <v>2</v>
      </c>
      <c r="G14" s="110">
        <v>1024</v>
      </c>
      <c r="H14" s="110">
        <v>768</v>
      </c>
      <c r="I14" s="114" t="s">
        <v>327</v>
      </c>
      <c r="J14" s="114" t="s">
        <v>328</v>
      </c>
    </row>
    <row r="15" spans="1:10" ht="15.75" hidden="1" x14ac:dyDescent="0.15">
      <c r="A15" s="116" t="s">
        <v>54</v>
      </c>
      <c r="B15" s="117">
        <f>IF(B9="Standard",MAX(ROUNDUP((B10-13.73)/B18,0),1),IF(B10&gt;14,ROUNDUP((B10-13.73),0),1))</f>
        <v>1693</v>
      </c>
      <c r="C15" s="110"/>
      <c r="D15" s="110"/>
      <c r="E15" s="110"/>
      <c r="F15" s="110">
        <v>4</v>
      </c>
      <c r="G15" s="110">
        <v>512</v>
      </c>
      <c r="H15" s="110">
        <v>384</v>
      </c>
      <c r="I15" s="114" t="s">
        <v>329</v>
      </c>
      <c r="J15" s="114" t="s">
        <v>330</v>
      </c>
    </row>
    <row r="16" spans="1:10" ht="15.75" hidden="1" x14ac:dyDescent="0.15">
      <c r="A16" s="116" t="s">
        <v>55</v>
      </c>
      <c r="B16" s="117" t="str">
        <f>IF((B12&lt;=8),"1","2")</f>
        <v>1</v>
      </c>
      <c r="C16" s="110"/>
      <c r="D16" s="110"/>
      <c r="E16" s="110"/>
      <c r="F16" s="110"/>
      <c r="G16" s="110"/>
      <c r="H16" s="110"/>
      <c r="I16" s="110" t="s">
        <v>159</v>
      </c>
      <c r="J16" s="110"/>
    </row>
    <row r="17" spans="1:10" ht="15.75" hidden="1" x14ac:dyDescent="0.15">
      <c r="A17" s="116" t="s">
        <v>160</v>
      </c>
      <c r="B17" s="117">
        <f>B2*B3*B16+84</f>
        <v>3145812</v>
      </c>
      <c r="C17" s="110"/>
      <c r="D17" s="110"/>
      <c r="E17" s="110"/>
      <c r="F17" s="110"/>
      <c r="G17" s="110">
        <v>2048</v>
      </c>
      <c r="H17" s="110">
        <v>1536</v>
      </c>
      <c r="I17" s="110"/>
      <c r="J17" s="110"/>
    </row>
    <row r="18" spans="1:10" ht="15.75" hidden="1" x14ac:dyDescent="0.15">
      <c r="A18" s="116" t="s">
        <v>161</v>
      </c>
      <c r="B18" s="117">
        <f>ROUNDUP(IF(B12=8,I20/45,2*I20/45)*1000,10)/1000</f>
        <v>5.9</v>
      </c>
      <c r="C18" s="110"/>
      <c r="D18" s="110"/>
      <c r="E18" s="110"/>
      <c r="F18" s="110"/>
      <c r="G18" s="110"/>
      <c r="H18" s="110"/>
      <c r="I18" s="110"/>
      <c r="J18" s="110"/>
    </row>
    <row r="19" spans="1:10" ht="15.75" hidden="1" x14ac:dyDescent="0.15">
      <c r="A19" s="116" t="s">
        <v>56</v>
      </c>
      <c r="B19" s="117">
        <f>IF(B9="Standard",(B3*B6*B8+38)*B18,ROUNDUP((B3*B6*B8+38)*B18,0)+10)</f>
        <v>9286.6</v>
      </c>
      <c r="C19" s="113"/>
      <c r="D19" s="110"/>
      <c r="E19" s="110"/>
      <c r="F19" s="110"/>
      <c r="G19" s="110"/>
      <c r="H19" s="110"/>
      <c r="I19" s="110"/>
      <c r="J19" s="110"/>
    </row>
    <row r="20" spans="1:10" ht="15.75" x14ac:dyDescent="0.15">
      <c r="A20" s="71" t="s">
        <v>16</v>
      </c>
      <c r="B20" s="115" t="s">
        <v>15</v>
      </c>
      <c r="F20" s="110"/>
      <c r="G20" s="110"/>
      <c r="H20" s="110" t="s">
        <v>336</v>
      </c>
      <c r="I20" s="110">
        <f>265.5</f>
        <v>265.5</v>
      </c>
      <c r="J20" s="110"/>
    </row>
    <row r="21" spans="1:10" ht="15.75" x14ac:dyDescent="0.15">
      <c r="A21" s="71" t="s">
        <v>13</v>
      </c>
      <c r="B21" s="115">
        <v>107.6</v>
      </c>
      <c r="F21" s="110"/>
      <c r="G21" s="110"/>
      <c r="H21" s="110"/>
      <c r="I21" s="110"/>
      <c r="J21" s="110"/>
    </row>
    <row r="22" spans="1:10" ht="15.75" hidden="1" x14ac:dyDescent="0.15">
      <c r="A22" s="116" t="s">
        <v>162</v>
      </c>
      <c r="B22" s="118">
        <f>MAX(I22,I23,I24,I25)</f>
        <v>10491</v>
      </c>
      <c r="F22" s="110"/>
      <c r="G22" s="110"/>
      <c r="H22" s="110" t="s">
        <v>337</v>
      </c>
      <c r="I22" s="110">
        <f>IF(B9="Standard",ROUNDUP((B15+14)*B18,0)+ROUNDUP(B11/B18,0)*B18,B15+ROUNDUP((B3*F10*B8+38)*B18,0)+10+B11+ROUNDUP(I26,0))</f>
        <v>10072</v>
      </c>
      <c r="J22" s="110"/>
    </row>
    <row r="23" spans="1:10" ht="15.75" x14ac:dyDescent="0.15">
      <c r="A23" s="119" t="s">
        <v>163</v>
      </c>
      <c r="B23" s="120"/>
      <c r="H23" s="111" t="s">
        <v>338</v>
      </c>
      <c r="I23" s="110">
        <f>IF(B9="Standard",ROUNDUP((B3*F10*B8+38)*B18,0),ROUNDUP((B3*F10*B8+38)*B18,0)+10)</f>
        <v>9287</v>
      </c>
    </row>
    <row r="24" spans="1:10" ht="27" x14ac:dyDescent="0.15">
      <c r="A24" s="121" t="s">
        <v>164</v>
      </c>
      <c r="B24" s="122">
        <f>1000000/B22</f>
        <v>95.3197979220284</v>
      </c>
      <c r="C24" s="123" t="str">
        <f>IF(OR(B3&gt;1536/B6,B3&gt;1536/B8,B3&lt;4,B2&gt;2048/B5,B2&gt;2048/B7,B2&lt;8),I6,"")</f>
        <v/>
      </c>
      <c r="H24" s="110" t="s">
        <v>339</v>
      </c>
      <c r="I24" s="111">
        <f>IF(B9="Standard",ROUNDUP(MAX(ROUNDUP(B17*1000000/396000000/B18,0),ROUNDUP(B17*1000000/B13/B18,0))*B18,0),MAX(ROUNDUP(B17*1000000/396000000,0),ROUNDUP(B17*1000000/B13,0)))</f>
        <v>10491</v>
      </c>
    </row>
    <row r="25" spans="1:10" x14ac:dyDescent="0.15">
      <c r="H25" s="110" t="s">
        <v>340</v>
      </c>
      <c r="I25" s="111">
        <f>IF(B9="Standard",B18*(IF(B20="off",0,1))*ROUNDUP(1000*1000/(B18*B21),0),(IF(B20="off",0,1))*ROUNDUP(1000*1000/B21,0))</f>
        <v>0</v>
      </c>
    </row>
    <row r="26" spans="1:10" x14ac:dyDescent="0.15">
      <c r="H26" s="110" t="s">
        <v>341</v>
      </c>
      <c r="I26" s="111">
        <f>IF(AND(B9="UltraShort",B10&lt;=14),14.44,13.73)</f>
        <v>13.73</v>
      </c>
    </row>
  </sheetData>
  <sheetProtection algorithmName="SHA-512" hashValue="1J95VD7kAFSE2CNaeIU2lef8Z92clQNPXM7Sskyrwhn2XUlUSd3FVYtBWRthQscxBxAoUYZFBU3pmDZaWjh+dg==" saltValue="pug7FoCd4nALGyhdPm+V3Q==" spinCount="100000" sheet="1" objects="1" scenarios="1" selectLockedCells="1"/>
  <mergeCells count="2">
    <mergeCell ref="A1:B1"/>
    <mergeCell ref="A23:B23"/>
  </mergeCells>
  <phoneticPr fontId="8" type="noConversion"/>
  <conditionalFormatting sqref="B5">
    <cfRule type="expression" dxfId="15" priority="4">
      <formula>AND(B7&gt;1,B5&gt;1)</formula>
    </cfRule>
  </conditionalFormatting>
  <conditionalFormatting sqref="B6">
    <cfRule type="expression" dxfId="14" priority="2">
      <formula>AND(B6&gt;1,B8&gt;1)</formula>
    </cfRule>
  </conditionalFormatting>
  <conditionalFormatting sqref="B7">
    <cfRule type="expression" dxfId="13" priority="3">
      <formula>AND(B7&gt;1,B5&gt;1)</formula>
    </cfRule>
  </conditionalFormatting>
  <conditionalFormatting sqref="B8">
    <cfRule type="expression" dxfId="12" priority="1">
      <formula>AND(B6&gt;1,B8&gt;1)</formula>
    </cfRule>
  </conditionalFormatting>
  <conditionalFormatting sqref="B3">
    <cfRule type="cellIs" dxfId="11" priority="5" operator="notBetween">
      <formula>4</formula>
      <formula>$H$7</formula>
    </cfRule>
    <cfRule type="cellIs" dxfId="10" priority="6" operator="notBetween">
      <formula>4</formula>
      <formula>$H$17</formula>
    </cfRule>
  </conditionalFormatting>
  <conditionalFormatting sqref="B2">
    <cfRule type="cellIs" dxfId="9" priority="7" operator="notBetween">
      <formula>8</formula>
      <formula>$G$13</formula>
    </cfRule>
    <cfRule type="cellIs" dxfId="8" priority="8" operator="notBetween">
      <formula>8</formula>
      <formula>$G$7</formula>
    </cfRule>
  </conditionalFormatting>
  <dataValidations count="13">
    <dataValidation type="list" allowBlank="1" showInputMessage="1" showErrorMessage="1" errorTitle="Input parameter error" error="When Binning selects Sensor, the value that can be entered is 1,2; When Binning selects Region0, the values that can be entered are 1,2,4" sqref="B6">
      <formula1>IF($B$4="Region0",$F$3:$F$5,$F$3:$F$4)</formula1>
    </dataValidation>
    <dataValidation type="list" allowBlank="1" showInputMessage="1" showErrorMessage="1" errorTitle="Input parameter error" error="When Binning selects Sensor, the value that can be entered is 1; When Binning selects Region0, the values that can be entered are 1,2,4" sqref="B5">
      <formula1>IF($B$4="Region0",$F$3:$F$5,$F$3)</formula1>
    </dataValidation>
    <dataValidation type="custom" allowBlank="1" showInputMessage="1" showErrorMessage="1" errorTitle="参数输入错误" error="Input parameter error,Input range from 8 to 2048,and is an integer multiple of 8" sqref="B2">
      <formula1>AND(MOD(B2,8)=0,B2&gt;=8,B2&lt;=2048/B5)</formula1>
    </dataValidation>
    <dataValidation type="list" allowBlank="1" showInputMessage="1" showErrorMessage="1" error="Please enter Region0 or Sensor" sqref="B4">
      <formula1>"Region0,Sensor"</formula1>
    </dataValidation>
    <dataValidation type="list" allowBlank="1" showInputMessage="1" showErrorMessage="1" errorTitle="Input parameter error" error="Input 8 or 12" sqref="B12">
      <formula1>"8,12"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0">
      <formula1>OR(AND(B9="UltraShort",B10&gt;=1,B10&lt;=100),AND(B9="Standard",B10&gt;=20,B10&lt;=1000000))</formula1>
    </dataValidation>
    <dataValidation type="custom" allowBlank="1" showInputMessage="1" showErrorMessage="1" errorTitle="Input parameter error" error="Input parameter error,Input range from 4 to 1536,and is an integer multiple of 2" sqref="B3">
      <formula1>AND(MOD(B3,2)=0,B3&gt;=4,B3&lt;=1536/B6)</formula1>
    </dataValidation>
    <dataValidation type="list" allowBlank="1" showInputMessage="1" showErrorMessage="1" errorTitle="Input parameter error" error="Input Standard or UltraShort" sqref="B9">
      <formula1>"Standard,UltraShort"</formula1>
    </dataValidation>
    <dataValidation type="whole" allowBlank="1" showInputMessage="1" showErrorMessage="1" error="Exposure delay time range is 0-5000" sqref="B11">
      <formula1>0</formula1>
      <formula2>5000</formula2>
    </dataValidation>
    <dataValidation type="list" allowBlank="1" showInputMessage="1" showErrorMessage="1" errorTitle="Input parameter error" error="Input on or off" sqref="B20">
      <formula1>"on,off"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3">
      <formula1>OR(AND(B12=8,B13&gt;=35000000,B13&lt;=400000000,MOD(B13,1000000)=0),AND(B12=12,B13&gt;=70000000,B13&lt;=400000000,MOD(B13,1000000)=0))</formula1>
    </dataValidation>
    <dataValidation type="custom" allowBlank="1" showInputMessage="1" showErrorMessage="1" errorTitle="Input parameter error" error="Input range from 0.1 to 10000,step 0.1" sqref="B21">
      <formula1>AND(MOD(10*B21,1)=0,B21&gt;=0.1,B21&lt;=10000)</formula1>
    </dataValidation>
    <dataValidation type="list" allowBlank="1" showInputMessage="1" showErrorMessage="1" errorTitle="Input parameter error" error="Input range is 1,2,4" sqref="B7:B8">
      <formula1>"1,2,4"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11" sqref="C11"/>
    </sheetView>
  </sheetViews>
  <sheetFormatPr defaultColWidth="9" defaultRowHeight="13.5" x14ac:dyDescent="0.15"/>
  <cols>
    <col min="1" max="1" width="36.75" style="111" customWidth="1"/>
    <col min="2" max="2" width="17.125" style="111" customWidth="1"/>
    <col min="3" max="3" width="73.625" style="111" customWidth="1"/>
    <col min="4" max="4" width="9" style="111" customWidth="1"/>
    <col min="5" max="5" width="20" style="111" hidden="1" customWidth="1"/>
    <col min="6" max="6" width="9" style="111" hidden="1" customWidth="1"/>
    <col min="7" max="7" width="18" style="111" hidden="1" customWidth="1"/>
    <col min="8" max="8" width="22.125" style="111" hidden="1" customWidth="1"/>
    <col min="9" max="9" width="32.375" style="111" hidden="1" customWidth="1"/>
    <col min="10" max="10" width="24.625" style="111" hidden="1" customWidth="1"/>
    <col min="11" max="14" width="9" style="111" hidden="1" customWidth="1"/>
    <col min="15" max="15" width="0" style="111" hidden="1" customWidth="1"/>
    <col min="16" max="16384" width="9" style="111"/>
  </cols>
  <sheetData>
    <row r="1" spans="1:10" ht="15.75" x14ac:dyDescent="0.15">
      <c r="A1" s="108" t="s">
        <v>152</v>
      </c>
      <c r="B1" s="109"/>
      <c r="C1" s="110"/>
      <c r="D1" s="110"/>
      <c r="E1" s="110"/>
      <c r="F1" s="110"/>
      <c r="G1" s="110"/>
      <c r="H1" s="110"/>
      <c r="I1" s="110"/>
      <c r="J1" s="110"/>
    </row>
    <row r="2" spans="1:10" ht="15.75" x14ac:dyDescent="0.15">
      <c r="A2" s="71" t="s">
        <v>53</v>
      </c>
      <c r="B2" s="112">
        <v>2448</v>
      </c>
      <c r="C2" s="113" t="str">
        <f>IF(OR(B2&gt;2448/B6,B2&lt;8),LOOKUP(B6,F3:F5,I3:I5),IF(OR(B2&gt;2448/B8,B2&lt;8),LOOKUP(B8,F10:F12,I10:I12),""))</f>
        <v/>
      </c>
      <c r="D2" s="110"/>
      <c r="E2" s="110"/>
      <c r="F2" s="110" t="s">
        <v>153</v>
      </c>
      <c r="G2" s="110" t="s">
        <v>154</v>
      </c>
      <c r="H2" s="110" t="s">
        <v>155</v>
      </c>
      <c r="I2" s="110"/>
      <c r="J2" s="110"/>
    </row>
    <row r="3" spans="1:10" ht="15.75" x14ac:dyDescent="0.15">
      <c r="A3" s="71" t="s">
        <v>156</v>
      </c>
      <c r="B3" s="112">
        <v>2048</v>
      </c>
      <c r="C3" s="113" t="str">
        <f>IF(OR(B3&gt;2048/B7,B3&lt;4),LOOKUP(B7,F3:F5,J3:J5),IF(OR(B3&gt;2048/B9,B3&lt;4),LOOKUP(B9,F10:F12,J10:J12),""))</f>
        <v/>
      </c>
      <c r="D3" s="110"/>
      <c r="E3" s="110"/>
      <c r="F3" s="110">
        <v>1</v>
      </c>
      <c r="G3" s="110">
        <v>2448</v>
      </c>
      <c r="H3" s="110">
        <v>2048</v>
      </c>
      <c r="I3" s="110" t="s">
        <v>342</v>
      </c>
      <c r="J3" s="110" t="s">
        <v>343</v>
      </c>
    </row>
    <row r="4" spans="1:10" ht="15.75" x14ac:dyDescent="0.15">
      <c r="A4" s="71" t="s">
        <v>344</v>
      </c>
      <c r="B4" s="115">
        <v>1</v>
      </c>
      <c r="C4" s="113"/>
      <c r="D4" s="110"/>
      <c r="E4" s="110"/>
      <c r="F4" s="110">
        <v>2</v>
      </c>
      <c r="G4" s="110">
        <v>1224</v>
      </c>
      <c r="H4" s="110">
        <v>1024</v>
      </c>
      <c r="I4" s="110" t="s">
        <v>345</v>
      </c>
      <c r="J4" s="110" t="s">
        <v>346</v>
      </c>
    </row>
    <row r="5" spans="1:10" ht="15.75" x14ac:dyDescent="0.15">
      <c r="A5" s="71" t="s">
        <v>347</v>
      </c>
      <c r="B5" s="124">
        <f>B4</f>
        <v>1</v>
      </c>
      <c r="C5" s="113"/>
      <c r="D5" s="110"/>
      <c r="E5" s="110"/>
      <c r="F5" s="110">
        <v>4</v>
      </c>
      <c r="G5" s="110">
        <v>608</v>
      </c>
      <c r="H5" s="110">
        <v>512</v>
      </c>
      <c r="I5" s="110" t="s">
        <v>348</v>
      </c>
      <c r="J5" s="110" t="s">
        <v>349</v>
      </c>
    </row>
    <row r="6" spans="1:10" ht="15.75" x14ac:dyDescent="0.15">
      <c r="A6" s="71" t="s">
        <v>157</v>
      </c>
      <c r="B6" s="115">
        <v>1</v>
      </c>
      <c r="C6" s="113" t="str">
        <f>IF(AND(B6&gt;1,B8&gt;1),"The binning and skipping levels are not set to be greater than 2 at the same time","")</f>
        <v/>
      </c>
      <c r="D6" s="110"/>
      <c r="E6" s="110"/>
      <c r="F6" s="110"/>
      <c r="G6" s="110"/>
      <c r="H6" s="110"/>
      <c r="I6" s="110" t="s">
        <v>159</v>
      </c>
      <c r="J6" s="110"/>
    </row>
    <row r="7" spans="1:10" ht="15.75" x14ac:dyDescent="0.15">
      <c r="A7" s="71" t="s">
        <v>158</v>
      </c>
      <c r="B7" s="115">
        <v>1</v>
      </c>
      <c r="C7" s="113" t="str">
        <f>IF(AND(B7&gt;1,B9&gt;1),"The vertical binning and skipping are not set to be greater than 2 at the same time","")</f>
        <v/>
      </c>
      <c r="D7" s="110"/>
      <c r="E7" s="110"/>
      <c r="F7" s="110"/>
      <c r="G7" s="110">
        <v>2448</v>
      </c>
      <c r="H7" s="110">
        <v>2048</v>
      </c>
      <c r="I7" s="110"/>
      <c r="J7" s="110"/>
    </row>
    <row r="8" spans="1:10" ht="15.75" x14ac:dyDescent="0.15">
      <c r="A8" s="71" t="s">
        <v>297</v>
      </c>
      <c r="B8" s="115">
        <v>1</v>
      </c>
      <c r="C8" s="110"/>
      <c r="D8" s="110"/>
      <c r="E8" s="110"/>
      <c r="F8" s="110"/>
      <c r="G8" s="110"/>
      <c r="H8" s="110"/>
      <c r="I8" s="110"/>
      <c r="J8" s="110"/>
    </row>
    <row r="9" spans="1:10" ht="15.75" x14ac:dyDescent="0.15">
      <c r="A9" s="71" t="s">
        <v>298</v>
      </c>
      <c r="B9" s="115">
        <v>1</v>
      </c>
      <c r="C9" s="110"/>
      <c r="D9" s="110"/>
      <c r="E9" s="110"/>
      <c r="F9" s="110" t="s">
        <v>301</v>
      </c>
      <c r="G9" s="110" t="s">
        <v>154</v>
      </c>
      <c r="H9" s="110" t="s">
        <v>155</v>
      </c>
      <c r="I9" s="110"/>
      <c r="J9" s="110"/>
    </row>
    <row r="10" spans="1:10" ht="15.75" x14ac:dyDescent="0.15">
      <c r="A10" s="71" t="s">
        <v>331</v>
      </c>
      <c r="B10" s="115" t="s">
        <v>177</v>
      </c>
      <c r="C10" s="110"/>
      <c r="D10" s="110"/>
      <c r="E10" s="110"/>
      <c r="F10" s="110">
        <v>1</v>
      </c>
      <c r="G10" s="110">
        <v>2448</v>
      </c>
      <c r="H10" s="110">
        <v>2048</v>
      </c>
      <c r="I10" s="110" t="s">
        <v>342</v>
      </c>
      <c r="J10" s="110" t="s">
        <v>343</v>
      </c>
    </row>
    <row r="11" spans="1:10" ht="15.75" x14ac:dyDescent="0.15">
      <c r="A11" s="71" t="s">
        <v>23</v>
      </c>
      <c r="B11" s="115">
        <v>10000</v>
      </c>
      <c r="C11" s="113" t="str">
        <f>IF(AND(B10="UltraShort",B11&gt;100),"exposure time of ultrashort should not be more than 100us!",IF(AND(B10="Standard",B11&lt;20),"exposure time of standard should not be less than 20us!",""))</f>
        <v/>
      </c>
      <c r="D11" s="110"/>
      <c r="E11" s="110"/>
      <c r="F11" s="110">
        <v>2</v>
      </c>
      <c r="G11" s="110">
        <v>1224</v>
      </c>
      <c r="H11" s="110">
        <v>1024</v>
      </c>
      <c r="I11" s="110" t="s">
        <v>345</v>
      </c>
      <c r="J11" s="110" t="s">
        <v>346</v>
      </c>
    </row>
    <row r="12" spans="1:10" ht="15.75" x14ac:dyDescent="0.15">
      <c r="A12" s="71" t="s">
        <v>299</v>
      </c>
      <c r="B12" s="115">
        <v>0</v>
      </c>
      <c r="C12" s="110"/>
      <c r="D12" s="110"/>
      <c r="E12" s="110"/>
      <c r="F12" s="110">
        <v>4</v>
      </c>
      <c r="G12" s="110">
        <v>608</v>
      </c>
      <c r="H12" s="110">
        <v>512</v>
      </c>
      <c r="I12" s="110" t="s">
        <v>348</v>
      </c>
      <c r="J12" s="110" t="s">
        <v>349</v>
      </c>
    </row>
    <row r="13" spans="1:10" ht="15.75" x14ac:dyDescent="0.15">
      <c r="A13" s="71" t="s">
        <v>333</v>
      </c>
      <c r="B13" s="115">
        <v>8</v>
      </c>
      <c r="C13" s="110"/>
      <c r="D13" s="110"/>
      <c r="E13" s="110"/>
      <c r="F13" s="110"/>
      <c r="G13" s="110"/>
      <c r="H13" s="110"/>
      <c r="I13" s="110" t="s">
        <v>159</v>
      </c>
      <c r="J13" s="110"/>
    </row>
    <row r="14" spans="1:10" ht="15.75" x14ac:dyDescent="0.15">
      <c r="A14" s="71" t="s">
        <v>18</v>
      </c>
      <c r="B14" s="115">
        <v>300000000</v>
      </c>
      <c r="C14" s="110"/>
      <c r="D14" s="110"/>
      <c r="E14" s="110"/>
      <c r="F14" s="110"/>
      <c r="G14" s="110">
        <v>2448</v>
      </c>
      <c r="H14" s="110">
        <v>2048</v>
      </c>
      <c r="I14" s="110"/>
      <c r="J14" s="110"/>
    </row>
    <row r="15" spans="1:10" ht="15.75" hidden="1" x14ac:dyDescent="0.15">
      <c r="A15" s="71"/>
      <c r="B15" s="115"/>
      <c r="C15" s="110"/>
      <c r="D15" s="110"/>
      <c r="E15" s="110"/>
      <c r="F15" s="110"/>
      <c r="G15" s="110"/>
      <c r="H15" s="110"/>
      <c r="I15" s="110"/>
      <c r="J15" s="110"/>
    </row>
    <row r="16" spans="1:10" ht="15.75" hidden="1" x14ac:dyDescent="0.15">
      <c r="A16" s="71" t="s">
        <v>54</v>
      </c>
      <c r="B16" s="115">
        <f>IF(B10="Standard",MAX(ROUNDUP((B11-13.73)/B19,0),1),IF(B11&gt;14,ROUNDUP((B11-13.73),0),1))</f>
        <v>1693</v>
      </c>
      <c r="C16" s="110"/>
      <c r="D16" s="110"/>
      <c r="E16" s="110"/>
      <c r="F16" s="110"/>
      <c r="G16" s="110"/>
      <c r="H16" s="110"/>
      <c r="I16" s="110"/>
      <c r="J16" s="110"/>
    </row>
    <row r="17" spans="1:10" ht="15.75" hidden="1" x14ac:dyDescent="0.15">
      <c r="A17" s="71" t="s">
        <v>55</v>
      </c>
      <c r="B17" s="115" t="str">
        <f>IF((B13&lt;=8),"1","2")</f>
        <v>1</v>
      </c>
      <c r="C17" s="110"/>
      <c r="D17" s="110"/>
      <c r="E17" s="110"/>
      <c r="F17" s="110"/>
      <c r="G17" s="110"/>
      <c r="H17" s="110" t="s">
        <v>336</v>
      </c>
      <c r="I17" s="110">
        <f>IF(B4=2,201.375,265.5)</f>
        <v>265.5</v>
      </c>
      <c r="J17" s="110"/>
    </row>
    <row r="18" spans="1:10" ht="15.75" hidden="1" x14ac:dyDescent="0.15">
      <c r="A18" s="71" t="s">
        <v>160</v>
      </c>
      <c r="B18" s="115">
        <f>B2*B3*B17+84</f>
        <v>5013588</v>
      </c>
      <c r="C18" s="110"/>
      <c r="D18" s="110"/>
      <c r="E18" s="110"/>
      <c r="F18" s="110"/>
      <c r="G18" s="110"/>
      <c r="H18" s="110"/>
      <c r="I18" s="110"/>
      <c r="J18" s="110"/>
    </row>
    <row r="19" spans="1:10" ht="15.75" hidden="1" x14ac:dyDescent="0.15">
      <c r="A19" s="71" t="s">
        <v>161</v>
      </c>
      <c r="B19" s="115">
        <f>ROUNDUP(IF(B13=8,I17/45,2*I17/45)*1000,10)/1000</f>
        <v>5.9</v>
      </c>
      <c r="C19" s="113"/>
      <c r="D19" s="110"/>
      <c r="E19" s="110"/>
      <c r="F19" s="110"/>
      <c r="G19" s="110"/>
      <c r="H19" s="110" t="s">
        <v>337</v>
      </c>
      <c r="I19" s="110">
        <f>IF(B10="Standard",ROUNDUP((B16+14)*B19,0)+ROUNDUP(B12/B19,0)*B19,B16+ROUNDUP((B3*B7*B9+38)*B19,0)+10+B12+ROUNDUP(I23,0))</f>
        <v>10072</v>
      </c>
      <c r="J19" s="110"/>
    </row>
    <row r="20" spans="1:10" ht="15.75" hidden="1" x14ac:dyDescent="0.15">
      <c r="A20" s="71" t="s">
        <v>56</v>
      </c>
      <c r="B20" s="115">
        <f>IF(B10="Standard",(B3*B7*B9+38)*B19,ROUNDUP((B3*B7*B9+38)*B19,0)+10)</f>
        <v>12307.400000000001</v>
      </c>
      <c r="H20" s="111" t="s">
        <v>338</v>
      </c>
      <c r="I20" s="110">
        <f>IF(B10="Standard",ROUNDUP((B3*B7*B9+38)*B19,0),ROUNDUP((B3*B7*B9+38)*B19,0)+10)</f>
        <v>12308</v>
      </c>
    </row>
    <row r="21" spans="1:10" ht="15.75" x14ac:dyDescent="0.15">
      <c r="A21" s="71" t="s">
        <v>16</v>
      </c>
      <c r="B21" s="115" t="s">
        <v>15</v>
      </c>
      <c r="H21" s="110" t="s">
        <v>339</v>
      </c>
      <c r="I21" s="111">
        <f>IF(B10="Standard",ROUNDUP(MAX(ROUNDUP(B18*1000000/396000000/B19,0),ROUNDUP(B18*1000000/B14/B19,0))*B19,0),MAX(ROUNDUP(B18*1000000/396000000,0),ROUNDUP(B18*1000000/B14,0)))</f>
        <v>16715</v>
      </c>
    </row>
    <row r="22" spans="1:10" ht="15.75" x14ac:dyDescent="0.15">
      <c r="A22" s="71" t="s">
        <v>13</v>
      </c>
      <c r="B22" s="115">
        <v>79.099999999999994</v>
      </c>
      <c r="H22" s="110" t="s">
        <v>340</v>
      </c>
      <c r="I22" s="111">
        <f>IF(B10="Standard",B19*(IF(B21="off",0,1))*ROUNDUP(1000*1000/(B19*B22),0),(IF(B21="off",0,1))*ROUNDUP(1000*1000/B22,0))</f>
        <v>0</v>
      </c>
    </row>
    <row r="23" spans="1:10" ht="15.75" hidden="1" x14ac:dyDescent="0.15">
      <c r="A23" s="71" t="s">
        <v>162</v>
      </c>
      <c r="B23" s="124">
        <f>MAX(I19,I20,I21,I22)</f>
        <v>16715</v>
      </c>
      <c r="H23" s="110" t="s">
        <v>341</v>
      </c>
      <c r="I23" s="111">
        <f>IF(AND(B10="UltraShort",B11&lt;=14),14.44,13.73)</f>
        <v>13.73</v>
      </c>
    </row>
    <row r="24" spans="1:10" ht="15.75" x14ac:dyDescent="0.15">
      <c r="A24" s="119" t="s">
        <v>163</v>
      </c>
      <c r="B24" s="120"/>
      <c r="C24" s="123" t="str">
        <f>IF(OR(B3&gt;2048/B7,B3&gt;2048/B9,B3&lt;4,B2&gt;2448/B6,B2&gt;2448/B8,B2&lt;8),I6,"")</f>
        <v/>
      </c>
    </row>
    <row r="25" spans="1:10" ht="27" x14ac:dyDescent="0.15">
      <c r="A25" s="121" t="s">
        <v>164</v>
      </c>
      <c r="B25" s="122">
        <f>1000000/B23</f>
        <v>59.826503140891418</v>
      </c>
    </row>
  </sheetData>
  <sheetProtection password="DE11" sheet="1" objects="1" scenarios="1"/>
  <mergeCells count="2">
    <mergeCell ref="A1:B1"/>
    <mergeCell ref="A24:B24"/>
  </mergeCells>
  <phoneticPr fontId="8" type="noConversion"/>
  <conditionalFormatting sqref="B2">
    <cfRule type="cellIs" dxfId="7" priority="6" operator="notBetween">
      <formula>8</formula>
      <formula>$G$14</formula>
    </cfRule>
    <cfRule type="cellIs" dxfId="6" priority="8" operator="notBetween">
      <formula>8</formula>
      <formula>$G$7</formula>
    </cfRule>
  </conditionalFormatting>
  <conditionalFormatting sqref="B3">
    <cfRule type="cellIs" dxfId="5" priority="5" operator="notBetween">
      <formula>4</formula>
      <formula>$H$7</formula>
    </cfRule>
    <cfRule type="cellIs" dxfId="4" priority="7" operator="notBetween">
      <formula>4</formula>
      <formula>$H$14</formula>
    </cfRule>
  </conditionalFormatting>
  <conditionalFormatting sqref="B6">
    <cfRule type="expression" dxfId="3" priority="4">
      <formula>AND(B8&gt;1,B6&gt;1)</formula>
    </cfRule>
  </conditionalFormatting>
  <conditionalFormatting sqref="B7">
    <cfRule type="expression" dxfId="2" priority="2">
      <formula>AND(B7&gt;1,B9&gt;1)</formula>
    </cfRule>
  </conditionalFormatting>
  <conditionalFormatting sqref="B8">
    <cfRule type="expression" dxfId="1" priority="3">
      <formula>AND(B8&gt;1,B6&gt;1)</formula>
    </cfRule>
  </conditionalFormatting>
  <conditionalFormatting sqref="B9">
    <cfRule type="expression" dxfId="0" priority="1">
      <formula>AND(B7&gt;1,B9&gt;1)</formula>
    </cfRule>
  </conditionalFormatting>
  <dataValidations count="12">
    <dataValidation type="list" allowBlank="1" showInputMessage="1" showErrorMessage="1" errorTitle="Input parameter error" error="Input range is 1,2,4" sqref="B6:B9">
      <formula1>"1,2,4"</formula1>
    </dataValidation>
    <dataValidation type="custom" allowBlank="1" showInputMessage="1" showErrorMessage="1" errorTitle="Input parameter error" error="Input range from 0.1 to 10000,step 0.1" sqref="B22">
      <formula1>AND(MOD(10*B22,1)=0,B22&gt;=0.1,B22&lt;=10000)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4">
      <formula1>OR(AND(B13=8,B14&gt;=35000000,B14&lt;=400000000,MOD(B14,1000000)=0),AND(B13=12,B14&gt;=70000000,B14&lt;=400000000,MOD(B14,1000000)=0))</formula1>
    </dataValidation>
    <dataValidation type="list" allowBlank="1" showInputMessage="1" showErrorMessage="1" errorTitle="Input parameter error" error="Input on or off" sqref="B21">
      <formula1>"on,off"</formula1>
    </dataValidation>
    <dataValidation type="whole" allowBlank="1" showInputMessage="1" showErrorMessage="1" error="Exposure delay time range is 0-5000" sqref="B12">
      <formula1>0</formula1>
      <formula2>5000</formula2>
    </dataValidation>
    <dataValidation type="list" allowBlank="1" showInputMessage="1" showErrorMessage="1" errorTitle="Input parameter error" error="Input Standard or UltraShort" sqref="B10">
      <formula1>"Standard,UltraShort"</formula1>
    </dataValidation>
    <dataValidation type="list" allowBlank="1" showInputMessage="1" showErrorMessage="1" errorTitle="Input parameter error" error="Input range is 1,2" sqref="B4">
      <formula1>"1,2"</formula1>
    </dataValidation>
    <dataValidation type="custom" allowBlank="1" showInputMessage="1" showErrorMessage="1" errorTitle="Input parameter error" error="Input parameter error,Input range from 4 to 2048,and is an integer multiple of 2" sqref="B3">
      <formula1>AND(MOD(B3,2)=0,B3&gt;=4,B3&lt;=2048/B7)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1">
      <formula1>OR(AND(B10="UltraShort",B11&gt;=1,B11&lt;=100),AND(B10="Standard",B11&gt;=20,B11&lt;=1000000))</formula1>
    </dataValidation>
    <dataValidation type="custom" allowBlank="1" showInputMessage="1" showErrorMessage="1" errorTitle="Input parameter error" error="Input parameter error,Input range from 8 to 2448,and is an integer multiple of 8" sqref="B2">
      <formula1>AND(MOD(B2,8)=0,B2&gt;=8,B2&lt;=2448/B6)</formula1>
    </dataValidation>
    <dataValidation type="list" allowBlank="1" showInputMessage="1" showErrorMessage="1" errorTitle="Input parameter error" error="Input parameter error,Input range from 64 to 2048,and is an integer multiple of 2" sqref="B5">
      <formula1>"1,2"</formula1>
    </dataValidation>
    <dataValidation type="list" allowBlank="1" showInputMessage="1" showErrorMessage="1" errorTitle="Input parameter error" error="Input 8 or 12" sqref="B13">
      <formula1>"8,12"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workbookViewId="0">
      <selection activeCell="C54" sqref="C54"/>
    </sheetView>
  </sheetViews>
  <sheetFormatPr defaultColWidth="8.875" defaultRowHeight="13.5" x14ac:dyDescent="0.15"/>
  <cols>
    <col min="1" max="1" width="36.875" style="44" bestFit="1" customWidth="1"/>
    <col min="2" max="2" width="12" style="44" bestFit="1" customWidth="1"/>
    <col min="3" max="3" width="101.875" style="44" bestFit="1" customWidth="1"/>
    <col min="4" max="5" width="8.875" style="44"/>
    <col min="6" max="6" width="13.625" style="44" hidden="1" customWidth="1"/>
    <col min="7" max="8" width="9" style="44" hidden="1" customWidth="1"/>
    <col min="9" max="9" width="73.625" style="44" hidden="1" customWidth="1"/>
    <col min="10" max="10" width="64.875" style="44" hidden="1" customWidth="1"/>
    <col min="11" max="12" width="8.875" style="44" hidden="1" customWidth="1"/>
    <col min="13" max="13" width="21.5" style="44" hidden="1" customWidth="1"/>
    <col min="14" max="14" width="23.5" style="44" hidden="1" customWidth="1"/>
    <col min="15" max="16" width="8.875" style="44" hidden="1" customWidth="1"/>
    <col min="17" max="17" width="19.25" style="44" hidden="1" customWidth="1"/>
    <col min="18" max="18" width="8.875" style="44" hidden="1" customWidth="1"/>
    <col min="19" max="16384" width="8.875" style="44"/>
  </cols>
  <sheetData>
    <row r="1" spans="1:18" ht="15.75" x14ac:dyDescent="0.15">
      <c r="A1" s="88" t="s">
        <v>152</v>
      </c>
      <c r="B1" s="89"/>
      <c r="C1" s="43"/>
      <c r="M1" s="105" t="s">
        <v>256</v>
      </c>
      <c r="N1" s="106"/>
      <c r="O1" s="107"/>
    </row>
    <row r="2" spans="1:18" ht="15.75" x14ac:dyDescent="0.15">
      <c r="A2" s="21" t="s">
        <v>257</v>
      </c>
      <c r="B2" s="45">
        <v>4024</v>
      </c>
      <c r="C2" s="46" t="str">
        <f>IF(OR(B2&gt;G7/B4,B2&lt;16,MOD(B2,8)&lt;&gt;0),LOOKUP(B4,F3:F5,I3:I5),IF(OR(B2&gt;G7/B6,B2&lt;16,MOD(B2,8)&lt;&gt;0),LOOKUP(B6,F10:F12,I10:I12),""))</f>
        <v/>
      </c>
      <c r="F2" s="20" t="s">
        <v>241</v>
      </c>
      <c r="G2" s="20" t="s">
        <v>189</v>
      </c>
      <c r="H2" s="20" t="s">
        <v>190</v>
      </c>
      <c r="I2" s="20"/>
      <c r="J2" s="20"/>
      <c r="K2"/>
      <c r="M2" s="47" t="s">
        <v>53</v>
      </c>
      <c r="N2" s="47">
        <v>5496</v>
      </c>
      <c r="O2" s="47"/>
      <c r="Q2" s="48" t="s">
        <v>258</v>
      </c>
      <c r="R2" s="49">
        <v>10</v>
      </c>
    </row>
    <row r="3" spans="1:18" ht="15.75" x14ac:dyDescent="0.15">
      <c r="A3" s="21" t="s">
        <v>259</v>
      </c>
      <c r="B3" s="45">
        <v>3036</v>
      </c>
      <c r="C3" s="46" t="str">
        <f>IF(OR(B3&gt;H7/B5,B3&lt;2,MOD(B3,2)&lt;&gt;0),LOOKUP(B5,F3:F5,J3:J5),IF(OR(B3&gt;H7/B7,B3&lt;2,MOD(B3,2)&lt;&gt;0),LOOKUP(B7,F10:F12,J10:J12),""))</f>
        <v/>
      </c>
      <c r="F3" s="20">
        <v>1</v>
      </c>
      <c r="G3" s="20">
        <f>8*INT($G$7/(F3*8))</f>
        <v>4024</v>
      </c>
      <c r="H3" s="20">
        <f>2*INT($H$7/(F3*2))</f>
        <v>3036</v>
      </c>
      <c r="I3" s="20" t="s">
        <v>260</v>
      </c>
      <c r="J3" s="20" t="s">
        <v>261</v>
      </c>
      <c r="K3"/>
      <c r="M3" s="47" t="s">
        <v>156</v>
      </c>
      <c r="N3" s="47">
        <f>B3</f>
        <v>3036</v>
      </c>
      <c r="O3" s="47"/>
      <c r="Q3" s="48" t="s">
        <v>262</v>
      </c>
      <c r="R3" s="49">
        <v>1000000</v>
      </c>
    </row>
    <row r="4" spans="1:18" ht="15.75" x14ac:dyDescent="0.15">
      <c r="A4" s="12" t="s">
        <v>248</v>
      </c>
      <c r="B4" s="14">
        <v>1</v>
      </c>
      <c r="C4" s="46" t="str">
        <f>IF(AND(B4&gt;1,B6&gt;1),"The binning and skipping levels are not set to be greater than 2 at the same time","")</f>
        <v/>
      </c>
      <c r="F4" s="20">
        <v>2</v>
      </c>
      <c r="G4" s="20">
        <f t="shared" ref="G4:G5" si="0">8*INT($G$7/(F4*8))</f>
        <v>2008</v>
      </c>
      <c r="H4" s="20">
        <f t="shared" ref="H4:H5" si="1">2*INT($H$7/(F4*2))</f>
        <v>1518</v>
      </c>
      <c r="I4" s="20" t="s">
        <v>263</v>
      </c>
      <c r="J4" s="20" t="s">
        <v>264</v>
      </c>
      <c r="K4"/>
      <c r="M4" s="105" t="s">
        <v>265</v>
      </c>
      <c r="N4" s="106"/>
      <c r="O4" s="107"/>
    </row>
    <row r="5" spans="1:18" ht="15.75" x14ac:dyDescent="0.15">
      <c r="A5" s="12" t="s">
        <v>249</v>
      </c>
      <c r="B5" s="14">
        <v>1</v>
      </c>
      <c r="C5" s="46" t="str">
        <f>IF(AND(B5&gt;1,B7&gt;1),"The binning and skipping levels are not set to be greater than 2 at the same time","")</f>
        <v/>
      </c>
      <c r="F5" s="20">
        <v>4</v>
      </c>
      <c r="G5" s="20">
        <f t="shared" si="0"/>
        <v>1000</v>
      </c>
      <c r="H5" s="20">
        <f t="shared" si="1"/>
        <v>758</v>
      </c>
      <c r="I5" s="20" t="s">
        <v>266</v>
      </c>
      <c r="J5" s="20" t="s">
        <v>267</v>
      </c>
      <c r="K5"/>
      <c r="M5" s="47" t="s">
        <v>53</v>
      </c>
      <c r="N5" s="47">
        <v>5496</v>
      </c>
      <c r="O5" s="47"/>
    </row>
    <row r="6" spans="1:18" ht="15.75" x14ac:dyDescent="0.15">
      <c r="A6" s="12" t="s">
        <v>268</v>
      </c>
      <c r="B6" s="14">
        <v>1</v>
      </c>
      <c r="C6" s="50"/>
      <c r="F6" s="20"/>
      <c r="G6" s="20"/>
      <c r="H6" s="20"/>
      <c r="I6" s="20" t="s">
        <v>196</v>
      </c>
      <c r="J6" s="20"/>
      <c r="K6"/>
      <c r="M6" s="47" t="s">
        <v>156</v>
      </c>
      <c r="N6" s="47">
        <f>IF(B5*B7*N3&gt;=G8,B5*B7*N3,G8)</f>
        <v>3046</v>
      </c>
      <c r="O6" s="47"/>
    </row>
    <row r="7" spans="1:18" ht="15.75" x14ac:dyDescent="0.15">
      <c r="A7" s="12" t="s">
        <v>269</v>
      </c>
      <c r="B7" s="14">
        <v>1</v>
      </c>
      <c r="C7" s="50"/>
      <c r="F7" s="20" t="s">
        <v>270</v>
      </c>
      <c r="G7" s="20">
        <v>4024</v>
      </c>
      <c r="H7" s="20">
        <v>3036</v>
      </c>
      <c r="I7" s="20"/>
      <c r="J7" s="20"/>
      <c r="K7"/>
      <c r="M7" s="105"/>
      <c r="N7" s="106"/>
      <c r="O7" s="107"/>
    </row>
    <row r="8" spans="1:18" ht="15.75" x14ac:dyDescent="0.15">
      <c r="A8" s="7" t="s">
        <v>23</v>
      </c>
      <c r="B8" s="51">
        <v>30000</v>
      </c>
      <c r="C8" s="43"/>
      <c r="F8" s="20" t="s">
        <v>271</v>
      </c>
      <c r="G8" s="20">
        <v>3046</v>
      </c>
      <c r="H8" s="20"/>
      <c r="I8" s="20"/>
      <c r="J8" s="20"/>
      <c r="K8"/>
      <c r="M8" s="47" t="s">
        <v>272</v>
      </c>
      <c r="N8" s="47">
        <f>IF(B10=8,10000,2*10000)</f>
        <v>10000</v>
      </c>
      <c r="O8" s="47" t="s">
        <v>273</v>
      </c>
    </row>
    <row r="9" spans="1:18" ht="15.75" x14ac:dyDescent="0.15">
      <c r="A9" s="7" t="s">
        <v>274</v>
      </c>
      <c r="B9" s="52">
        <v>0</v>
      </c>
      <c r="C9" s="43"/>
      <c r="F9" s="20" t="s">
        <v>188</v>
      </c>
      <c r="G9" s="20" t="s">
        <v>189</v>
      </c>
      <c r="H9" s="20" t="s">
        <v>190</v>
      </c>
      <c r="I9" s="20"/>
      <c r="J9" s="20"/>
      <c r="K9"/>
      <c r="M9" s="47" t="s">
        <v>275</v>
      </c>
      <c r="N9" s="47">
        <v>50</v>
      </c>
      <c r="O9" s="47" t="s">
        <v>276</v>
      </c>
    </row>
    <row r="10" spans="1:18" ht="15.75" x14ac:dyDescent="0.15">
      <c r="A10" s="7" t="s">
        <v>20</v>
      </c>
      <c r="B10" s="51">
        <v>8</v>
      </c>
      <c r="C10" s="43"/>
      <c r="F10" s="20">
        <v>1</v>
      </c>
      <c r="G10" s="20">
        <f>8*INT($G$7/(F10*8))</f>
        <v>4024</v>
      </c>
      <c r="H10" s="20">
        <f>2*INT($H$7/(F10*2))</f>
        <v>3036</v>
      </c>
      <c r="I10" s="20" t="s">
        <v>260</v>
      </c>
      <c r="J10" s="20" t="s">
        <v>261</v>
      </c>
      <c r="K10"/>
      <c r="M10" s="47" t="s">
        <v>277</v>
      </c>
      <c r="N10" s="47">
        <v>33</v>
      </c>
      <c r="O10" s="47" t="s">
        <v>272</v>
      </c>
    </row>
    <row r="11" spans="1:18" ht="15.75" x14ac:dyDescent="0.15">
      <c r="A11" s="7" t="s">
        <v>18</v>
      </c>
      <c r="B11" s="51">
        <v>300000000</v>
      </c>
      <c r="C11" s="43"/>
      <c r="F11" s="20">
        <v>2</v>
      </c>
      <c r="G11" s="20">
        <f t="shared" ref="G11:G12" si="2">8*INT($G$7/(F11*8))</f>
        <v>2008</v>
      </c>
      <c r="H11" s="20">
        <f t="shared" ref="H11:H12" si="3">2*INT($H$7/(F11*2))</f>
        <v>1518</v>
      </c>
      <c r="I11" s="20" t="s">
        <v>263</v>
      </c>
      <c r="J11" s="20" t="s">
        <v>264</v>
      </c>
      <c r="K11"/>
      <c r="M11" s="47" t="s">
        <v>278</v>
      </c>
      <c r="N11" s="47">
        <v>17</v>
      </c>
      <c r="O11" s="47" t="s">
        <v>272</v>
      </c>
    </row>
    <row r="12" spans="1:18" ht="15.75" x14ac:dyDescent="0.15">
      <c r="A12" s="7" t="s">
        <v>279</v>
      </c>
      <c r="B12" s="51" t="s">
        <v>280</v>
      </c>
      <c r="C12" s="43"/>
      <c r="E12" s="53" t="s">
        <v>281</v>
      </c>
      <c r="F12" s="20">
        <v>4</v>
      </c>
      <c r="G12" s="20">
        <f t="shared" si="2"/>
        <v>1000</v>
      </c>
      <c r="H12" s="20">
        <f t="shared" si="3"/>
        <v>758</v>
      </c>
      <c r="I12" s="20" t="s">
        <v>266</v>
      </c>
      <c r="J12" s="20" t="s">
        <v>267</v>
      </c>
      <c r="K12"/>
      <c r="M12" s="54" t="s">
        <v>282</v>
      </c>
      <c r="N12" s="47">
        <v>16</v>
      </c>
      <c r="O12" s="47" t="s">
        <v>272</v>
      </c>
    </row>
    <row r="13" spans="1:18" ht="15.75" x14ac:dyDescent="0.15">
      <c r="A13" s="7" t="s">
        <v>82</v>
      </c>
      <c r="B13" s="51" t="s">
        <v>15</v>
      </c>
      <c r="C13" s="43"/>
      <c r="F13" s="20"/>
      <c r="G13" s="20"/>
      <c r="H13" s="20"/>
      <c r="I13" s="20" t="s">
        <v>196</v>
      </c>
      <c r="J13" s="20"/>
      <c r="K13"/>
      <c r="M13" s="47" t="s">
        <v>283</v>
      </c>
      <c r="N13" s="47">
        <v>38</v>
      </c>
      <c r="O13" s="47" t="s">
        <v>272</v>
      </c>
    </row>
    <row r="14" spans="1:18" ht="15.75" x14ac:dyDescent="0.15">
      <c r="A14" s="7" t="s">
        <v>16</v>
      </c>
      <c r="B14" s="51" t="s">
        <v>15</v>
      </c>
      <c r="C14" s="43"/>
      <c r="M14" s="47" t="s">
        <v>284</v>
      </c>
      <c r="N14" s="47">
        <f>IF(B12="Rolling",8,18)</f>
        <v>8</v>
      </c>
      <c r="O14" s="47" t="s">
        <v>272</v>
      </c>
    </row>
    <row r="15" spans="1:18" ht="15.75" x14ac:dyDescent="0.15">
      <c r="A15" s="7" t="s">
        <v>13</v>
      </c>
      <c r="B15" s="51">
        <v>32.299999999999997</v>
      </c>
      <c r="C15" s="43"/>
      <c r="M15" s="47" t="s">
        <v>285</v>
      </c>
      <c r="N15" s="47">
        <f>IF(B10=8,1,2)*B2*B3+84</f>
        <v>12216948</v>
      </c>
      <c r="O15" s="47" t="s">
        <v>286</v>
      </c>
    </row>
    <row r="16" spans="1:18" ht="15.75" hidden="1" x14ac:dyDescent="0.15">
      <c r="A16" s="55" t="s">
        <v>55</v>
      </c>
      <c r="B16" s="56" t="str">
        <f>IF((B10&lt;=8),"1","2")</f>
        <v>1</v>
      </c>
      <c r="C16" s="43"/>
      <c r="M16" s="105"/>
      <c r="N16" s="106"/>
      <c r="O16" s="107"/>
    </row>
    <row r="17" spans="1:15" ht="15.75" hidden="1" x14ac:dyDescent="0.15">
      <c r="A17" s="55" t="s">
        <v>160</v>
      </c>
      <c r="B17" s="56">
        <f>N15</f>
        <v>12216948</v>
      </c>
      <c r="C17" s="43"/>
      <c r="M17" s="57" t="s">
        <v>287</v>
      </c>
      <c r="N17" s="58">
        <f>N10+MAX(N6+N13-N10,2+N11+ROUNDUP(1000*N9/N8,0))</f>
        <v>3084</v>
      </c>
      <c r="O17" s="59" t="s">
        <v>272</v>
      </c>
    </row>
    <row r="18" spans="1:15" ht="15.75" hidden="1" x14ac:dyDescent="0.15">
      <c r="A18" s="55" t="s">
        <v>161</v>
      </c>
      <c r="B18" s="56">
        <f>N8</f>
        <v>10000</v>
      </c>
      <c r="C18" s="43"/>
      <c r="M18" s="60" t="s">
        <v>288</v>
      </c>
      <c r="N18" s="58">
        <f>ROUNDUP(B8*1000/N8,0)+N14</f>
        <v>3008</v>
      </c>
      <c r="O18" s="59" t="s">
        <v>272</v>
      </c>
    </row>
    <row r="19" spans="1:15" ht="15.75" hidden="1" x14ac:dyDescent="0.15">
      <c r="A19" s="55" t="s">
        <v>56</v>
      </c>
      <c r="B19" s="56">
        <f>B20</f>
        <v>40730000</v>
      </c>
      <c r="C19" s="43"/>
      <c r="M19" s="61" t="s">
        <v>289</v>
      </c>
      <c r="N19" s="58">
        <f>N17+N18+ROUNDUP(B9*1000/N8,0)+N12</f>
        <v>6108</v>
      </c>
      <c r="O19" s="59" t="s">
        <v>272</v>
      </c>
    </row>
    <row r="20" spans="1:15" ht="27" hidden="1" x14ac:dyDescent="0.15">
      <c r="A20" s="55" t="s">
        <v>162</v>
      </c>
      <c r="B20" s="56">
        <f>N22</f>
        <v>40730000</v>
      </c>
      <c r="C20" s="43"/>
      <c r="M20" s="57" t="s">
        <v>290</v>
      </c>
      <c r="N20" s="62">
        <f>ROUNDUP(((1000000000/B15)/N8)*IF(B14="on",1,0),0)</f>
        <v>0</v>
      </c>
      <c r="O20" s="59" t="s">
        <v>272</v>
      </c>
    </row>
    <row r="21" spans="1:15" ht="15.75" x14ac:dyDescent="0.15">
      <c r="A21" s="90" t="s">
        <v>163</v>
      </c>
      <c r="B21" s="91"/>
      <c r="C21" s="43"/>
      <c r="M21" s="57" t="s">
        <v>291</v>
      </c>
      <c r="N21" s="62">
        <f>ROUNDUP((MAX((B17*1000000/B11),B17*10/3950)*1000/N8),0)</f>
        <v>4073</v>
      </c>
      <c r="O21" s="59" t="s">
        <v>272</v>
      </c>
    </row>
    <row r="22" spans="1:15" ht="27" x14ac:dyDescent="0.15">
      <c r="A22" s="63" t="s">
        <v>164</v>
      </c>
      <c r="B22" s="64">
        <f>1000000000/B20</f>
        <v>24.551927326295115</v>
      </c>
      <c r="C22" s="43" t="str">
        <f>IF(OR(B3&gt;H7/B5,B3&gt;H7/B7,B3&lt;2,B2&gt;G7/B4,B2&gt;G7/B6,B2&lt;16),I6,"")</f>
        <v/>
      </c>
      <c r="M22" s="65" t="s">
        <v>292</v>
      </c>
      <c r="N22" s="66">
        <f>IF(B13="off",MAX(N17,N18,N20,N21),MAX(N19,N20))*N8</f>
        <v>40730000</v>
      </c>
      <c r="O22" s="65" t="s">
        <v>293</v>
      </c>
    </row>
    <row r="29" spans="1:15" hidden="1" x14ac:dyDescent="0.15"/>
    <row r="30" spans="1:15" hidden="1" x14ac:dyDescent="0.15"/>
    <row r="31" spans="1:15" hidden="1" x14ac:dyDescent="0.15"/>
    <row r="32" spans="1:15" hidden="1" x14ac:dyDescent="0.15"/>
    <row r="33" hidden="1" x14ac:dyDescent="0.15"/>
  </sheetData>
  <sheetProtection algorithmName="SHA-512" hashValue="ja1zkcuuD2jNZf5dm4AgulHW3vcyHKQkAI48Y6Rg1WmTjPdiRoFLjSb2RBDip7RJuqRDB1cZNiZ4qwq7IOXbPw==" saltValue="jxxhC9Z87SuUCg2gGqkQKg==" spinCount="100000" sheet="1" objects="1" scenarios="1"/>
  <mergeCells count="6">
    <mergeCell ref="A21:B21"/>
    <mergeCell ref="A1:B1"/>
    <mergeCell ref="M1:O1"/>
    <mergeCell ref="M4:O4"/>
    <mergeCell ref="M7:O7"/>
    <mergeCell ref="M16:O16"/>
  </mergeCells>
  <phoneticPr fontId="8" type="noConversion"/>
  <conditionalFormatting sqref="B4">
    <cfRule type="expression" dxfId="19" priority="4">
      <formula>AND(B6&gt;1,B4&gt;1)</formula>
    </cfRule>
  </conditionalFormatting>
  <conditionalFormatting sqref="B6">
    <cfRule type="expression" dxfId="18" priority="3">
      <formula>AND(B6&gt;1,B4&gt;1)</formula>
    </cfRule>
  </conditionalFormatting>
  <conditionalFormatting sqref="B5">
    <cfRule type="expression" dxfId="17" priority="2">
      <formula>AND(B5&gt;1,B7&gt;1)</formula>
    </cfRule>
  </conditionalFormatting>
  <conditionalFormatting sqref="B7">
    <cfRule type="expression" dxfId="16" priority="1">
      <formula>AND(B5&gt;1,B7&gt;1)</formula>
    </cfRule>
  </conditionalFormatting>
  <dataValidations count="10">
    <dataValidation type="list" allowBlank="1" showInputMessage="1" showErrorMessage="1" errorTitle="参数输入错误" error="Input range is 1,2,4" sqref="B4:B7">
      <formula1>"1,2,4"</formula1>
    </dataValidation>
    <dataValidation type="list" allowBlank="1" showInputMessage="1" showErrorMessage="1" sqref="B12">
      <formula1>"Rolling,GlobalReset"</formula1>
    </dataValidation>
    <dataValidation type="whole" allowBlank="1" showInputMessage="1" showErrorMessage="1" errorTitle="Input parameter error" error="Input range is 0-5000" sqref="B9">
      <formula1>0</formula1>
      <formula2>5000</formula2>
    </dataValidation>
    <dataValidation type="custom" allowBlank="1" showInputMessage="1" showErrorMessage="1" errorTitle="Input parameter error" error="Input parameter error，please input parameter according to message" sqref="B3">
      <formula1>AND(MOD(B3,2)=0,B3&gt;=2,B3&lt;=H7/(B5*B7))</formula1>
    </dataValidation>
    <dataValidation type="custom" allowBlank="1" showInputMessage="1" showErrorMessage="1" errorTitle="Input parameter error" error="Input renge from 0.1 to 10000,step 0.1" sqref="B15">
      <formula1>AND(MOD(10*B15,1)=0,B15&gt;=0.1,B15&lt;=10000)</formula1>
    </dataValidation>
    <dataValidation type="list" allowBlank="1" showInputMessage="1" showErrorMessage="1" errorTitle="Input parameter error" error="Input off or on" sqref="B13:B14">
      <formula1>"on,off"</formula1>
    </dataValidation>
    <dataValidation type="list" allowBlank="1" showInputMessage="1" showErrorMessage="1" errorTitle="Input parameter error" error="input 8 or 12" sqref="B10">
      <formula1>"8,12"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1">
      <formula1>OR(AND(B10=8,B11&gt;=35000000,B11&lt;=400000000,MOD(B11,1000000)=0),AND(B10=12,B11&gt;=70000000,B11&lt;=400000000,MOD(B11,1000000)=0))</formula1>
    </dataValidation>
    <dataValidation type="whole" allowBlank="1" showInputMessage="1" showErrorMessage="1" errorTitle="Input parameter error" error="Input range is 10-1000000" sqref="B8">
      <formula1>R2</formula1>
      <formula2>R3</formula2>
    </dataValidation>
    <dataValidation type="custom" allowBlank="1" showInputMessage="1" showErrorMessage="1" errorTitle="Input parameter error" error="Input parameter error，please input parameter according to message_x000a_" sqref="B2">
      <formula1>AND(MOD(B2,8)=0,B2&gt;=16,B2&lt;=G7/(B4*B6))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workbookViewId="0">
      <selection activeCell="B2" sqref="B2"/>
    </sheetView>
  </sheetViews>
  <sheetFormatPr defaultRowHeight="13.5" x14ac:dyDescent="0.15"/>
  <cols>
    <col min="1" max="1" width="39.25" customWidth="1"/>
    <col min="2" max="2" width="28.875" customWidth="1"/>
  </cols>
  <sheetData>
    <row r="1" spans="1:2" ht="15.75" x14ac:dyDescent="0.15">
      <c r="A1" s="88" t="s">
        <v>224</v>
      </c>
      <c r="B1" s="89"/>
    </row>
    <row r="2" spans="1:2" ht="15.75" x14ac:dyDescent="0.15">
      <c r="A2" s="7" t="s">
        <v>53</v>
      </c>
      <c r="B2" s="13">
        <v>720</v>
      </c>
    </row>
    <row r="3" spans="1:2" ht="15.75" x14ac:dyDescent="0.15">
      <c r="A3" s="7" t="s">
        <v>225</v>
      </c>
      <c r="B3" s="13">
        <v>540</v>
      </c>
    </row>
    <row r="4" spans="1:2" ht="15.75" x14ac:dyDescent="0.15">
      <c r="A4" s="7" t="s">
        <v>226</v>
      </c>
      <c r="B4" s="14">
        <v>10000</v>
      </c>
    </row>
    <row r="5" spans="1:2" ht="15.75" x14ac:dyDescent="0.15">
      <c r="A5" s="7" t="s">
        <v>227</v>
      </c>
      <c r="B5" s="14">
        <v>8</v>
      </c>
    </row>
    <row r="6" spans="1:2" ht="15.75" x14ac:dyDescent="0.15">
      <c r="A6" s="7" t="s">
        <v>18</v>
      </c>
      <c r="B6" s="14">
        <v>200000000</v>
      </c>
    </row>
    <row r="7" spans="1:2" ht="15.75" hidden="1" x14ac:dyDescent="0.15">
      <c r="A7" s="7" t="s">
        <v>54</v>
      </c>
      <c r="B7" s="14">
        <f>MAX(ROUNDUP((B4*1000-14260)/B10,0),1)</f>
        <v>694</v>
      </c>
    </row>
    <row r="8" spans="1:2" ht="15.75" hidden="1" x14ac:dyDescent="0.15">
      <c r="A8" s="7" t="s">
        <v>55</v>
      </c>
      <c r="B8" s="14" t="str">
        <f>IF((B5&lt;=8),"1","2")</f>
        <v>1</v>
      </c>
    </row>
    <row r="9" spans="1:2" ht="15.75" hidden="1" x14ac:dyDescent="0.15">
      <c r="A9" s="7" t="s">
        <v>228</v>
      </c>
      <c r="B9" s="14">
        <f>B2*B3*B8+84</f>
        <v>388884</v>
      </c>
    </row>
    <row r="10" spans="1:2" ht="15.75" hidden="1" x14ac:dyDescent="0.15">
      <c r="A10" s="7" t="s">
        <v>229</v>
      </c>
      <c r="B10" s="14">
        <f>540*1000000*B8/37500</f>
        <v>14400</v>
      </c>
    </row>
    <row r="11" spans="1:2" ht="15.75" hidden="1" x14ac:dyDescent="0.15">
      <c r="A11" s="7" t="s">
        <v>56</v>
      </c>
      <c r="B11" s="14">
        <f>(B3+30)*B10</f>
        <v>8208000</v>
      </c>
    </row>
    <row r="12" spans="1:2" ht="15.75" x14ac:dyDescent="0.15">
      <c r="A12" s="7" t="s">
        <v>16</v>
      </c>
      <c r="B12" s="14" t="s">
        <v>15</v>
      </c>
    </row>
    <row r="13" spans="1:2" ht="15.75" x14ac:dyDescent="0.15">
      <c r="A13" s="7" t="s">
        <v>13</v>
      </c>
      <c r="B13" s="14">
        <v>121.8</v>
      </c>
    </row>
    <row r="14" spans="1:2" ht="15.75" hidden="1" x14ac:dyDescent="0.15">
      <c r="A14" s="12" t="s">
        <v>230</v>
      </c>
      <c r="B14" s="15">
        <f>MAX(ROUNDUP(((B9*1000000/B6)*1000)/B10,0)*B10,ROUNDUP(((B9*10/2000))/B10,0)*B10,(B7+8)*B10,B11,B10*(IF(B12="off",0,1))*ROUNDUP(1000000000/(B10*B13),0))</f>
        <v>10108800</v>
      </c>
    </row>
    <row r="15" spans="1:2" ht="15.75" x14ac:dyDescent="0.15">
      <c r="A15" s="90" t="s">
        <v>231</v>
      </c>
      <c r="B15" s="91"/>
    </row>
    <row r="16" spans="1:2" ht="27" x14ac:dyDescent="0.15">
      <c r="A16" s="16" t="s">
        <v>232</v>
      </c>
      <c r="B16" s="17">
        <f>1000000000/B14</f>
        <v>98.923710034821141</v>
      </c>
    </row>
    <row r="29" spans="1:2" hidden="1" x14ac:dyDescent="0.15">
      <c r="A29" s="18" t="s">
        <v>233</v>
      </c>
      <c r="B29" s="19">
        <f>ROUNDUP(((B9*1000000/B6)*1000),0)</f>
        <v>1944420</v>
      </c>
    </row>
    <row r="30" spans="1:2" hidden="1" x14ac:dyDescent="0.15">
      <c r="A30" s="18" t="s">
        <v>234</v>
      </c>
      <c r="B30" s="18">
        <f>ROUNDUP((1000000000/B13)*(IF(B12="off",0,1)),0)</f>
        <v>0</v>
      </c>
    </row>
    <row r="31" spans="1:2" hidden="1" x14ac:dyDescent="0.15">
      <c r="A31" s="18" t="s">
        <v>235</v>
      </c>
      <c r="B31" s="18">
        <f>IF(ROUNDUP(((B4*1000-14260)*37500/1000000),0)&lt;552,552,ROUNDUP(((B4*1000-14260)*37500/1000000),0))</f>
        <v>374466</v>
      </c>
    </row>
    <row r="32" spans="1:2" hidden="1" x14ac:dyDescent="0.15">
      <c r="A32" s="18" t="s">
        <v>236</v>
      </c>
      <c r="B32" s="18">
        <f>ROUNDUP(MAX(B29,B30)*37500/((B3+30)*1000000),0)</f>
        <v>128</v>
      </c>
    </row>
  </sheetData>
  <sheetProtection algorithmName="SHA-512" hashValue="sUDT7+dgNvV1evH+6GF9ctK5K/KO/oPPMiCWeyfLY2GsG6EOwC6+O0UchLX+s+kV4YbjVOxfjFt57bVcOtRc1w==" saltValue="N+scJhVu8/r+Mt2aR8t+UA==" spinCount="100000" sheet="1" objects="1" scenarios="1" selectLockedCells="1"/>
  <mergeCells count="2">
    <mergeCell ref="A1:B1"/>
    <mergeCell ref="A15:B15"/>
  </mergeCells>
  <phoneticPr fontId="8" type="noConversion"/>
  <dataValidations count="7">
    <dataValidation type="custom" allowBlank="1" showInputMessage="1" showErrorMessage="1" errorTitle="Input parameter error" error="Input parameter error,Input range from 64 to 720,and is an integer multiple of 4" sqref="B2">
      <formula1>AND(MOD(B2,4)=0,B2&gt;=64,B2&lt;=720)</formula1>
    </dataValidation>
    <dataValidation type="custom" allowBlank="1" showInputMessage="1" showErrorMessage="1" errorTitle="Input parameter error" error="Input parameter error,Input range from 4 to 540,and is an integer multiple of 2" sqref="B3">
      <formula1>AND(MOD(B3,2)=0,B3&gt;=4,B3&lt;=540)</formula1>
    </dataValidation>
    <dataValidation type="list" allowBlank="1" showInputMessage="1" showErrorMessage="1" errorTitle="Input parameter error" error="Input 8 or 10" sqref="B5">
      <formula1>"8,10"</formula1>
    </dataValidation>
    <dataValidation type="whole" allowBlank="1" showInputMessage="1" showErrorMessage="1" errorTitle="Input parameter error" error="Input range is 20-1000000" sqref="B4">
      <formula1>20</formula1>
      <formula2>1000000</formula2>
    </dataValidation>
    <dataValidation type="custom" allowBlank="1" showInputMessage="1" showErrorMessage="1" errorTitle="Input parameter error" error="8bit mode range from 35000000 to 200000000,step 1000000;_x000a_10bit mode range from 70000000 to 200000000,step 1000000" sqref="B6">
      <formula1>OR(AND(B5=8,B6&gt;=35000000,B6&lt;=200000000,MOD(B6,1000000)=0),AND(B5=10,B6&gt;=70000000,B6&lt;=200000000,MOD(B6,1000000)=0))</formula1>
    </dataValidation>
    <dataValidation type="list" allowBlank="1" showInputMessage="1" showErrorMessage="1" errorTitle="Input parameter error" error="Input on or off" sqref="B12">
      <formula1>"on,off"</formula1>
    </dataValidation>
    <dataValidation type="custom" allowBlank="1" showInputMessage="1" showErrorMessage="1" errorTitle="Input parameter error" error="Input range from 0.1 to 10000,step 0.1" sqref="B13">
      <formula1>AND(MOD(10*B13,1)=0,B13&gt;=0.1,B13&lt;=10000)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6"/>
  <sheetViews>
    <sheetView topLeftCell="B1" workbookViewId="0">
      <selection activeCell="C29" sqref="C29"/>
    </sheetView>
  </sheetViews>
  <sheetFormatPr defaultColWidth="8.875" defaultRowHeight="13.5" x14ac:dyDescent="0.15"/>
  <cols>
    <col min="1" max="1" width="14.125" style="1" hidden="1" customWidth="1"/>
    <col min="2" max="2" width="40.625" style="1" bestFit="1" customWidth="1"/>
    <col min="3" max="3" width="17.125" style="1" customWidth="1"/>
    <col min="4" max="5" width="8.875" style="1"/>
    <col min="6" max="6" width="25.625" style="1" customWidth="1"/>
    <col min="7" max="7" width="20.5" style="1" hidden="1" customWidth="1"/>
    <col min="8" max="8" width="8.5" style="1" hidden="1" customWidth="1"/>
    <col min="9" max="9" width="5.5" style="1" hidden="1" customWidth="1"/>
    <col min="10" max="11" width="14.25" style="1" customWidth="1"/>
    <col min="12" max="16384" width="8.875" style="1"/>
  </cols>
  <sheetData>
    <row r="1" spans="1:9" ht="15.75" x14ac:dyDescent="0.15">
      <c r="A1" s="92" t="s">
        <v>37</v>
      </c>
      <c r="B1" s="93"/>
      <c r="C1" s="94"/>
      <c r="G1" s="8" t="s">
        <v>36</v>
      </c>
      <c r="H1" s="8">
        <v>40722</v>
      </c>
      <c r="I1" s="8" t="s">
        <v>33</v>
      </c>
    </row>
    <row r="2" spans="1:9" ht="15.75" x14ac:dyDescent="0.15">
      <c r="A2" s="4" t="s">
        <v>47</v>
      </c>
      <c r="B2" s="4" t="s">
        <v>49</v>
      </c>
      <c r="C2" s="6">
        <v>1280</v>
      </c>
      <c r="D2" s="11"/>
      <c r="G2" s="8" t="s">
        <v>35</v>
      </c>
      <c r="H2" s="8">
        <v>3194</v>
      </c>
      <c r="I2" s="8" t="s">
        <v>33</v>
      </c>
    </row>
    <row r="3" spans="1:9" ht="15.75" x14ac:dyDescent="0.15">
      <c r="A3" s="4" t="s">
        <v>41</v>
      </c>
      <c r="B3" s="4" t="s">
        <v>50</v>
      </c>
      <c r="C3" s="6">
        <v>1024</v>
      </c>
      <c r="D3" s="11"/>
      <c r="G3" s="8" t="s">
        <v>38</v>
      </c>
      <c r="H3" s="8">
        <v>25</v>
      </c>
      <c r="I3" s="8" t="s">
        <v>39</v>
      </c>
    </row>
    <row r="4" spans="1:9" ht="15.75" x14ac:dyDescent="0.15">
      <c r="A4" s="5" t="s">
        <v>24</v>
      </c>
      <c r="B4" s="7" t="s">
        <v>23</v>
      </c>
      <c r="C4" s="6">
        <v>10000</v>
      </c>
      <c r="G4" s="8" t="s">
        <v>8</v>
      </c>
      <c r="H4" s="8">
        <f>ROUNDUP(1000*(86+C2/2+H3+10)/72,0)</f>
        <v>10570</v>
      </c>
      <c r="I4" s="8" t="s">
        <v>33</v>
      </c>
    </row>
    <row r="5" spans="1:9" ht="15.75" x14ac:dyDescent="0.15">
      <c r="A5" s="5" t="s">
        <v>21</v>
      </c>
      <c r="B5" s="7" t="s">
        <v>20</v>
      </c>
      <c r="C5" s="6">
        <v>8</v>
      </c>
      <c r="G5" s="8" t="s">
        <v>34</v>
      </c>
      <c r="H5" s="8">
        <f>ROUNDUP(1000*(86+1280/2+H3+10)/72,0)</f>
        <v>10570</v>
      </c>
      <c r="I5" s="8" t="s">
        <v>33</v>
      </c>
    </row>
    <row r="6" spans="1:9" ht="15.75" x14ac:dyDescent="0.15">
      <c r="A6" s="5" t="s">
        <v>19</v>
      </c>
      <c r="B6" s="7" t="s">
        <v>18</v>
      </c>
      <c r="C6" s="6">
        <v>300000000</v>
      </c>
      <c r="G6" s="8" t="s">
        <v>32</v>
      </c>
      <c r="H6" s="8">
        <f>ROUNDUP(((1000*86/72+(6+14-1)*H5+C3*H4+H1+H2)+40000)/1000,0)</f>
        <v>11110</v>
      </c>
      <c r="I6" s="8" t="s">
        <v>29</v>
      </c>
    </row>
    <row r="7" spans="1:9" ht="15.75" hidden="1" x14ac:dyDescent="0.15">
      <c r="A7" s="5"/>
      <c r="B7" s="7"/>
      <c r="C7" s="6"/>
      <c r="G7" s="8" t="s">
        <v>31</v>
      </c>
      <c r="H7" s="8">
        <f>ROUNDUP((2*H5+H1+H2+1000*C4)/1000,0)+40</f>
        <v>10106</v>
      </c>
      <c r="I7" s="8" t="s">
        <v>29</v>
      </c>
    </row>
    <row r="8" spans="1:9" ht="15.75" x14ac:dyDescent="0.15">
      <c r="A8" s="5" t="s">
        <v>17</v>
      </c>
      <c r="B8" s="7" t="s">
        <v>16</v>
      </c>
      <c r="C8" s="6" t="s">
        <v>15</v>
      </c>
      <c r="G8" s="8" t="s">
        <v>30</v>
      </c>
      <c r="H8" s="8">
        <f>MAX(H6,H7)</f>
        <v>11110</v>
      </c>
      <c r="I8" s="8" t="s">
        <v>29</v>
      </c>
    </row>
    <row r="9" spans="1:9" ht="15.75" x14ac:dyDescent="0.15">
      <c r="A9" s="5" t="s">
        <v>14</v>
      </c>
      <c r="B9" s="7" t="s">
        <v>13</v>
      </c>
      <c r="C9" s="6">
        <v>90</v>
      </c>
      <c r="G9" s="8" t="s">
        <v>28</v>
      </c>
      <c r="H9" s="8">
        <f>2*C10*(C2*C3+84)</f>
        <v>2621608</v>
      </c>
      <c r="I9" s="8" t="s">
        <v>27</v>
      </c>
    </row>
    <row r="10" spans="1:9" ht="15.75" hidden="1" x14ac:dyDescent="0.15">
      <c r="A10" s="5" t="s">
        <v>12</v>
      </c>
      <c r="B10" s="5" t="s">
        <v>11</v>
      </c>
      <c r="C10" s="4" t="str">
        <f>IF((C5&lt;=8),"1","2")</f>
        <v>1</v>
      </c>
      <c r="G10" s="8" t="s">
        <v>26</v>
      </c>
      <c r="H10" s="8" t="e">
        <f>ROUNDUP(1000000*H9/C7,0)</f>
        <v>#DIV/0!</v>
      </c>
      <c r="I10" s="8" t="s">
        <v>40</v>
      </c>
    </row>
    <row r="11" spans="1:9" ht="15.75" hidden="1" x14ac:dyDescent="0.15">
      <c r="A11" s="5" t="s">
        <v>10</v>
      </c>
      <c r="B11" s="5" t="s">
        <v>9</v>
      </c>
      <c r="C11" s="4">
        <f>2*(C2*C3*C10+84)</f>
        <v>2621608</v>
      </c>
      <c r="G11" s="8" t="s">
        <v>25</v>
      </c>
      <c r="H11" s="8">
        <f>ROUNDUP(1000000*H9/C6,0)</f>
        <v>8739</v>
      </c>
      <c r="I11" s="8" t="s">
        <v>40</v>
      </c>
    </row>
    <row r="12" spans="1:9" ht="15.75" hidden="1" x14ac:dyDescent="0.15">
      <c r="A12" s="5" t="s">
        <v>8</v>
      </c>
      <c r="B12" s="5" t="s">
        <v>7</v>
      </c>
      <c r="C12" s="4">
        <f>H4</f>
        <v>10570</v>
      </c>
      <c r="G12" s="8" t="s">
        <v>22</v>
      </c>
      <c r="H12" s="8">
        <f>IF(C8="on",1000000/C9,0)</f>
        <v>0</v>
      </c>
      <c r="I12" s="8" t="s">
        <v>40</v>
      </c>
    </row>
    <row r="13" spans="1:9" ht="15.75" hidden="1" x14ac:dyDescent="0.15">
      <c r="A13" s="5" t="s">
        <v>6</v>
      </c>
      <c r="B13" s="5" t="s">
        <v>5</v>
      </c>
      <c r="C13" s="4">
        <f>H13</f>
        <v>11110</v>
      </c>
      <c r="G13" s="8" t="s">
        <v>4</v>
      </c>
      <c r="H13" s="8">
        <f>MAX(H8,H11,H12)</f>
        <v>11110</v>
      </c>
      <c r="I13" s="8" t="s">
        <v>40</v>
      </c>
    </row>
    <row r="14" spans="1:9" ht="15.75" hidden="1" x14ac:dyDescent="0.15">
      <c r="A14" s="5" t="s">
        <v>4</v>
      </c>
      <c r="B14" s="5" t="s">
        <v>3</v>
      </c>
      <c r="C14" s="4">
        <f>H13</f>
        <v>11110</v>
      </c>
    </row>
    <row r="15" spans="1:9" ht="15.75" x14ac:dyDescent="0.15">
      <c r="A15" s="95" t="s">
        <v>2</v>
      </c>
      <c r="B15" s="93"/>
      <c r="C15" s="94"/>
    </row>
    <row r="16" spans="1:9" ht="27" x14ac:dyDescent="0.15">
      <c r="A16" s="3" t="s">
        <v>1</v>
      </c>
      <c r="B16" s="3" t="s">
        <v>0</v>
      </c>
      <c r="C16" s="2">
        <f>1000000/C14</f>
        <v>90.009000900090015</v>
      </c>
    </row>
  </sheetData>
  <sheetProtection algorithmName="SHA-512" hashValue="dAEXksis7jDBBVUAOeqcfWuZeTZcXbNvFpVUDMxUViWDElf0JfsAx6Bg/JPAZc+y6fsfBB/31PEisjYeA1bIbA==" saltValue="DGmVwacLcLgbmMzbPKtmmA==" spinCount="100000" sheet="1" objects="1" scenarios="1"/>
  <mergeCells count="2">
    <mergeCell ref="A1:C1"/>
    <mergeCell ref="A15:C15"/>
  </mergeCells>
  <phoneticPr fontId="8" type="noConversion"/>
  <dataValidations count="7">
    <dataValidation type="custom" allowBlank="1" showInputMessage="1" showErrorMessage="1" errorTitle="参数输入错误" error="输入范围64到1024，并且为2的整数倍" sqref="C3">
      <formula1>AND(MOD(C3,2)=0,C3&gt;=64,C3&lt;=1024)</formula1>
    </dataValidation>
    <dataValidation type="custom" allowBlank="1" showInputMessage="1" showErrorMessage="1" errorTitle="参数输入错误" error="输入范围64到1280，并且为32的整数倍_x000a_" sqref="C2">
      <formula1>AND(MOD(C2,32)=0,C2&gt;=64,C2&lt;=1280)</formula1>
    </dataValidation>
    <dataValidation type="whole" allowBlank="1" showInputMessage="1" showErrorMessage="1" errorTitle="参数输入错误" error="输入范围5-1000000" sqref="C4">
      <formula1>5</formula1>
      <formula2>1000000</formula2>
    </dataValidation>
    <dataValidation type="custom" allowBlank="1" showInputMessage="1" showErrorMessage="1" errorTitle="参数输入错误" error="8bit模式下范围35000000-400000000，步长1000000;_x000a_10bit模式下范围70000000-400000000，步长1000000" sqref="C6">
      <formula1>OR(AND(C5=8,C6&gt;=35000000,C6&lt;=400000000,MOD(C6,1000000)=0),AND(C5=10,C6&gt;=70000000,C6&lt;=400000000,MOD(C6,1000000)=0))</formula1>
    </dataValidation>
    <dataValidation type="list" allowBlank="1" showInputMessage="1" showErrorMessage="1" errorTitle="参数输入错误" error="请输入8或者10" sqref="C5">
      <formula1>"8,10"</formula1>
    </dataValidation>
    <dataValidation type="list" allowBlank="1" showInputMessage="1" showErrorMessage="1" errorTitle="参数输入错误" error="请输入on或者off" sqref="C8">
      <formula1>"on,off"</formula1>
    </dataValidation>
    <dataValidation type="custom" allowBlank="1" showInputMessage="1" showErrorMessage="1" errorTitle="参数输入错误" error="输入范围为0.1-10000，步进值为0.1" sqref="C9">
      <formula1>AND(MOD(10*C9,1)=0,C9&gt;=0.1,C9&lt;=10000)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A19" sqref="A19"/>
    </sheetView>
  </sheetViews>
  <sheetFormatPr defaultRowHeight="13.5" x14ac:dyDescent="0.15"/>
  <cols>
    <col min="1" max="1" width="36.75" customWidth="1"/>
    <col min="2" max="2" width="17.125" customWidth="1"/>
    <col min="3" max="3" width="73.625" bestFit="1" customWidth="1"/>
    <col min="5" max="5" width="20" customWidth="1"/>
    <col min="6" max="7" width="9" hidden="1" customWidth="1"/>
    <col min="8" max="8" width="12.25" hidden="1" customWidth="1"/>
    <col min="9" max="9" width="32.375" hidden="1" customWidth="1"/>
    <col min="10" max="10" width="24.625" hidden="1" customWidth="1"/>
    <col min="11" max="11" width="9" hidden="1" customWidth="1"/>
  </cols>
  <sheetData>
    <row r="1" spans="1:10" ht="15.75" x14ac:dyDescent="0.15">
      <c r="A1" s="88" t="s">
        <v>74</v>
      </c>
      <c r="B1" s="89"/>
      <c r="C1" s="20"/>
      <c r="D1" s="20"/>
      <c r="E1" s="20"/>
      <c r="F1" s="20"/>
      <c r="G1" s="20"/>
      <c r="H1" s="20"/>
      <c r="I1" s="20"/>
      <c r="J1" s="20"/>
    </row>
    <row r="2" spans="1:10" ht="15.75" x14ac:dyDescent="0.15">
      <c r="A2" s="7" t="s">
        <v>53</v>
      </c>
      <c r="B2" s="13">
        <v>1440</v>
      </c>
      <c r="C2" s="40" t="str">
        <f>IF(OR(B4=2,B5=2),IF(B2=720,"","The width must equal to 720"),IF(OR(B2&gt;1440/B6,B2&lt;16),LOOKUP(B6,F3:F5,I3:I5),""))</f>
        <v/>
      </c>
      <c r="D2" s="20"/>
      <c r="E2" s="20"/>
      <c r="F2" s="20" t="s">
        <v>241</v>
      </c>
      <c r="G2" s="20" t="s">
        <v>189</v>
      </c>
      <c r="H2" s="20" t="s">
        <v>190</v>
      </c>
      <c r="I2" s="20"/>
      <c r="J2" s="20"/>
    </row>
    <row r="3" spans="1:10" ht="15.75" x14ac:dyDescent="0.15">
      <c r="A3" s="7" t="s">
        <v>60</v>
      </c>
      <c r="B3" s="13">
        <v>1080</v>
      </c>
      <c r="C3" s="40" t="str">
        <f>IF(OR(B4=2,B5=2),IF(B3=540,"","The height must equal to 540"),IF(OR(B3&gt;1080/B7,B3&lt;2),LOOKUP(B7,F3:F5,J3:J5),""))</f>
        <v/>
      </c>
      <c r="D3" s="20"/>
      <c r="E3" s="20"/>
      <c r="F3" s="20">
        <v>1</v>
      </c>
      <c r="G3" s="20">
        <v>1440</v>
      </c>
      <c r="H3" s="20">
        <v>1080</v>
      </c>
      <c r="I3" s="20" t="s">
        <v>242</v>
      </c>
      <c r="J3" s="20" t="s">
        <v>243</v>
      </c>
    </row>
    <row r="4" spans="1:10" ht="15.75" x14ac:dyDescent="0.15">
      <c r="A4" s="12" t="s">
        <v>181</v>
      </c>
      <c r="B4" s="14">
        <v>1</v>
      </c>
      <c r="C4" s="41"/>
      <c r="D4" s="20"/>
      <c r="E4" s="20"/>
      <c r="F4" s="20">
        <v>2</v>
      </c>
      <c r="G4" s="20">
        <v>720</v>
      </c>
      <c r="H4" s="20">
        <v>540</v>
      </c>
      <c r="I4" s="20" t="s">
        <v>244</v>
      </c>
      <c r="J4" s="20" t="s">
        <v>245</v>
      </c>
    </row>
    <row r="5" spans="1:10" ht="15.75" x14ac:dyDescent="0.15">
      <c r="A5" s="12" t="s">
        <v>184</v>
      </c>
      <c r="B5" s="15">
        <f>B4</f>
        <v>1</v>
      </c>
      <c r="C5" s="41"/>
      <c r="D5" s="20"/>
      <c r="E5" s="20"/>
      <c r="F5" s="20">
        <v>4</v>
      </c>
      <c r="G5" s="20">
        <v>360</v>
      </c>
      <c r="H5" s="20">
        <v>270</v>
      </c>
      <c r="I5" s="20" t="s">
        <v>246</v>
      </c>
      <c r="J5" s="20" t="s">
        <v>247</v>
      </c>
    </row>
    <row r="6" spans="1:10" ht="15.75" x14ac:dyDescent="0.15">
      <c r="A6" s="12" t="s">
        <v>248</v>
      </c>
      <c r="B6" s="14">
        <v>1</v>
      </c>
      <c r="C6" s="41" t="str">
        <f>IF(AND(B6&gt;1,B4&gt;1),"The binning and skipping levels are not set to be greater than 2 at the same time","")</f>
        <v/>
      </c>
      <c r="D6" s="20"/>
      <c r="E6" s="20"/>
      <c r="F6" s="20"/>
      <c r="G6" s="20"/>
      <c r="H6" s="20"/>
      <c r="I6" s="20" t="s">
        <v>196</v>
      </c>
      <c r="J6" s="20"/>
    </row>
    <row r="7" spans="1:10" ht="15.75" x14ac:dyDescent="0.15">
      <c r="A7" s="12" t="s">
        <v>249</v>
      </c>
      <c r="B7" s="14">
        <v>1</v>
      </c>
      <c r="C7" s="41" t="str">
        <f>IF(AND(B7&gt;1,B5&gt;1),"The vertical binning and skipping are not set to be greater than 2 at the same time","")</f>
        <v/>
      </c>
      <c r="D7" s="20"/>
      <c r="E7" s="20"/>
      <c r="F7" s="20"/>
      <c r="G7" s="20">
        <v>1440</v>
      </c>
      <c r="H7" s="20">
        <v>1080</v>
      </c>
      <c r="I7" s="20"/>
      <c r="J7" s="20"/>
    </row>
    <row r="8" spans="1:10" ht="15.75" x14ac:dyDescent="0.15">
      <c r="A8" s="12" t="s">
        <v>176</v>
      </c>
      <c r="B8" s="14" t="s">
        <v>177</v>
      </c>
      <c r="C8" s="20"/>
      <c r="D8" s="20"/>
      <c r="E8" s="20"/>
      <c r="F8" s="20"/>
      <c r="G8" s="20"/>
      <c r="H8" s="20"/>
      <c r="I8" s="20"/>
      <c r="J8" s="20"/>
    </row>
    <row r="9" spans="1:10" ht="15.75" x14ac:dyDescent="0.15">
      <c r="A9" s="7" t="s">
        <v>23</v>
      </c>
      <c r="B9" s="14">
        <v>10000</v>
      </c>
      <c r="C9" s="41" t="str">
        <f>IF(AND(B8="UltraShort",B9&gt;100),"exposure time of ultrashort should not be more than 100us!",IF(AND(B8="Standard",B9&lt;20),"exposure time of standard should not be less than 20us!",""))</f>
        <v/>
      </c>
      <c r="D9" s="20"/>
      <c r="E9" s="20"/>
      <c r="F9" s="20" t="s">
        <v>188</v>
      </c>
      <c r="G9" s="20" t="s">
        <v>189</v>
      </c>
      <c r="H9" s="20" t="s">
        <v>190</v>
      </c>
      <c r="I9" s="20"/>
      <c r="J9" s="20"/>
    </row>
    <row r="10" spans="1:10" ht="15.75" x14ac:dyDescent="0.15">
      <c r="A10" s="7" t="s">
        <v>20</v>
      </c>
      <c r="B10" s="14">
        <v>8</v>
      </c>
      <c r="C10" s="20"/>
      <c r="D10" s="20"/>
      <c r="E10" s="20"/>
      <c r="F10" s="20">
        <v>1</v>
      </c>
      <c r="G10" s="20">
        <v>1440</v>
      </c>
      <c r="H10" s="20">
        <v>1080</v>
      </c>
      <c r="I10" s="20" t="s">
        <v>250</v>
      </c>
      <c r="J10" s="20" t="s">
        <v>251</v>
      </c>
    </row>
    <row r="11" spans="1:10" ht="15.75" x14ac:dyDescent="0.15">
      <c r="A11" s="7" t="s">
        <v>18</v>
      </c>
      <c r="B11" s="14">
        <v>300000000</v>
      </c>
      <c r="C11" s="20"/>
      <c r="D11" s="20"/>
      <c r="E11" s="20"/>
      <c r="F11" s="20">
        <v>2</v>
      </c>
      <c r="G11" s="20">
        <v>720</v>
      </c>
      <c r="H11" s="20">
        <v>540</v>
      </c>
      <c r="I11" s="20" t="s">
        <v>252</v>
      </c>
      <c r="J11" s="20" t="s">
        <v>253</v>
      </c>
    </row>
    <row r="12" spans="1:10" ht="15.75" hidden="1" x14ac:dyDescent="0.15">
      <c r="A12" s="7"/>
      <c r="B12" s="14"/>
      <c r="C12" s="20"/>
      <c r="D12" s="20"/>
      <c r="E12" s="20"/>
      <c r="F12" s="20">
        <v>4</v>
      </c>
      <c r="G12" s="20">
        <v>360</v>
      </c>
      <c r="H12" s="20">
        <v>270</v>
      </c>
      <c r="I12" s="20" t="s">
        <v>254</v>
      </c>
      <c r="J12" s="20" t="s">
        <v>255</v>
      </c>
    </row>
    <row r="13" spans="1:10" ht="15.75" hidden="1" x14ac:dyDescent="0.15">
      <c r="A13" s="7" t="s">
        <v>54</v>
      </c>
      <c r="B13" s="14">
        <f>IF(B8="Standard",MAX(ROUNDUP((B9-I23)/B16,0),1),IF(B9&gt;14,ROUNDUP((B9-I23),0),1))</f>
        <v>2545</v>
      </c>
      <c r="C13" s="20"/>
      <c r="D13" s="20"/>
      <c r="E13" s="20"/>
      <c r="F13" s="20"/>
      <c r="G13" s="20"/>
      <c r="H13" s="20"/>
      <c r="I13" s="20" t="s">
        <v>196</v>
      </c>
      <c r="J13" s="20"/>
    </row>
    <row r="14" spans="1:10" ht="15.75" hidden="1" x14ac:dyDescent="0.15">
      <c r="A14" s="7" t="s">
        <v>55</v>
      </c>
      <c r="B14" s="14" t="str">
        <f>IF((B10&lt;=8),"1","2")</f>
        <v>1</v>
      </c>
      <c r="C14" s="20"/>
      <c r="D14" s="20"/>
      <c r="E14" s="20"/>
      <c r="F14" s="20"/>
      <c r="G14" s="20">
        <v>1440</v>
      </c>
      <c r="H14" s="20">
        <v>1080</v>
      </c>
      <c r="I14" s="20"/>
      <c r="J14" s="20"/>
    </row>
    <row r="15" spans="1:10" ht="15.75" hidden="1" x14ac:dyDescent="0.15">
      <c r="A15" s="7" t="s">
        <v>64</v>
      </c>
      <c r="B15" s="14">
        <f>B2*B3*B14+84</f>
        <v>1555284</v>
      </c>
      <c r="C15" s="20"/>
      <c r="D15" s="20"/>
      <c r="E15" s="20"/>
      <c r="F15" s="20"/>
      <c r="G15" s="20"/>
      <c r="H15" s="20"/>
      <c r="I15" s="20"/>
      <c r="J15" s="20"/>
    </row>
    <row r="16" spans="1:10" ht="15.75" hidden="1" x14ac:dyDescent="0.15">
      <c r="A16" s="7" t="s">
        <v>65</v>
      </c>
      <c r="B16" s="14">
        <f>ROUNDUP(IF(B10=8,I17/37.5,2*I17/37.5)*1000,10)/1000</f>
        <v>3.9249999999999998</v>
      </c>
      <c r="C16" s="20"/>
      <c r="D16" s="20"/>
      <c r="E16" s="20"/>
      <c r="F16" s="20"/>
      <c r="G16" s="20"/>
      <c r="H16" s="20"/>
      <c r="I16" s="20"/>
      <c r="J16" s="20"/>
    </row>
    <row r="17" spans="1:10" ht="15.75" hidden="1" x14ac:dyDescent="0.15">
      <c r="A17" s="7" t="s">
        <v>56</v>
      </c>
      <c r="B17" s="14">
        <f>IF(B8="Standard",(B3*B7+42)*B16,ROUNDUP((B3*B7+42)*B16,0)+10)</f>
        <v>4403.8499999999995</v>
      </c>
      <c r="C17" s="40"/>
      <c r="D17" s="20"/>
      <c r="E17" s="20"/>
      <c r="F17" s="20"/>
      <c r="G17" s="20"/>
      <c r="H17" s="20" t="s">
        <v>197</v>
      </c>
      <c r="I17" s="20">
        <f>IF(B4=2,127.5,147.1875)</f>
        <v>147.1875</v>
      </c>
      <c r="J17" s="20"/>
    </row>
    <row r="18" spans="1:10" ht="15.75" x14ac:dyDescent="0.15">
      <c r="A18" s="7" t="s">
        <v>16</v>
      </c>
      <c r="B18" s="14" t="s">
        <v>15</v>
      </c>
      <c r="D18" s="20"/>
      <c r="E18" s="20"/>
      <c r="F18" s="20"/>
      <c r="G18" s="20"/>
      <c r="H18" s="20"/>
      <c r="I18" s="20"/>
      <c r="J18" s="20"/>
    </row>
    <row r="19" spans="1:10" ht="15.75" x14ac:dyDescent="0.15">
      <c r="A19" s="7" t="s">
        <v>13</v>
      </c>
      <c r="B19" s="14">
        <v>227.1</v>
      </c>
      <c r="D19" s="20"/>
      <c r="E19" s="20"/>
      <c r="F19" s="20"/>
      <c r="G19" s="20"/>
      <c r="H19" s="20" t="s">
        <v>198</v>
      </c>
      <c r="I19" s="20">
        <f>IF(B8="Standard",ROUNDUP((B13+18)*B16,0),B13+ROUNDUP((B3*B7+42)*B16+10,0)+ROUNDUP(I23,0))</f>
        <v>10060</v>
      </c>
      <c r="J19" s="20"/>
    </row>
    <row r="20" spans="1:10" ht="15.75" hidden="1" x14ac:dyDescent="0.15">
      <c r="A20" s="12" t="s">
        <v>3</v>
      </c>
      <c r="B20" s="15">
        <f>MAX(I19,I20,I21,I22)</f>
        <v>10060</v>
      </c>
      <c r="H20" t="s">
        <v>199</v>
      </c>
      <c r="I20" s="20">
        <f>IF(B8="Standard",ROUNDUP((B3*B7+42)*B16,0),ROUNDUP((B3*B7+42)*B16,0)+10)</f>
        <v>4404</v>
      </c>
    </row>
    <row r="21" spans="1:10" ht="15.75" x14ac:dyDescent="0.15">
      <c r="A21" s="90" t="s">
        <v>102</v>
      </c>
      <c r="B21" s="91"/>
      <c r="H21" s="20" t="s">
        <v>200</v>
      </c>
      <c r="I21">
        <f>IF(B8="Standard",ROUNDUP(ROUNDUP(B15*1000000/B11/B16,0)*B16,0),ROUNDUP(B15*1000000/B11,0))</f>
        <v>5185</v>
      </c>
    </row>
    <row r="22" spans="1:10" ht="27" x14ac:dyDescent="0.15">
      <c r="A22" s="16" t="s">
        <v>0</v>
      </c>
      <c r="B22" s="17">
        <f>1000000/B20</f>
        <v>99.40357852882704</v>
      </c>
      <c r="C22" s="42" t="str">
        <f>IF(OR(B3&gt;1080/B7,B3&lt;2,AND(B3&lt;&gt;540,B5=2),B2&gt;1440/B6,B2&lt;16,AND(B2&lt;&gt;720,B4=2),),I6,"")</f>
        <v/>
      </c>
      <c r="H22" s="20" t="s">
        <v>201</v>
      </c>
      <c r="I22">
        <f>IF(B8="Standard",B16*(IF(B18="off",0,1))*ROUNDUP(1000*1000/(B16*B19),0),(IF(B18="off",0,1))*ROUNDUP(1000*1000/B19,0))</f>
        <v>0</v>
      </c>
    </row>
    <row r="23" spans="1:10" x14ac:dyDescent="0.15">
      <c r="H23" s="20" t="s">
        <v>178</v>
      </c>
      <c r="I23">
        <f>IF(AND(B8="UltraShort",B9&lt;=13),13.31,14.26)</f>
        <v>14.26</v>
      </c>
    </row>
  </sheetData>
  <sheetProtection algorithmName="SHA-512" hashValue="erMhXTTKUIlpqrrV4tPh1e7qG4w5gqGHj1bwAz+6UxV5w0kFwatmwkkQZmDZ7SsC6f509TPZ9jsQM4g0gUM9hg==" saltValue="vEgDgyGton2ngIZmYV5WxA==" spinCount="100000" sheet="1" objects="1" scenarios="1"/>
  <mergeCells count="2">
    <mergeCell ref="A1:B1"/>
    <mergeCell ref="A21:B21"/>
  </mergeCells>
  <phoneticPr fontId="8" type="noConversion"/>
  <conditionalFormatting sqref="B2">
    <cfRule type="cellIs" dxfId="51" priority="2" operator="notBetween">
      <formula>16</formula>
      <formula>$G$14</formula>
    </cfRule>
    <cfRule type="cellIs" dxfId="50" priority="4" operator="notBetween">
      <formula>16</formula>
      <formula>$G$7</formula>
    </cfRule>
  </conditionalFormatting>
  <conditionalFormatting sqref="B3">
    <cfRule type="cellIs" dxfId="49" priority="1" operator="notBetween">
      <formula>2</formula>
      <formula>$H$7</formula>
    </cfRule>
    <cfRule type="cellIs" dxfId="48" priority="3" operator="notBetween">
      <formula>2</formula>
      <formula>$H$14</formula>
    </cfRule>
  </conditionalFormatting>
  <conditionalFormatting sqref="B6">
    <cfRule type="expression" dxfId="47" priority="5">
      <formula>AND(#REF!&gt;1,B6&gt;1)</formula>
    </cfRule>
  </conditionalFormatting>
  <conditionalFormatting sqref="B7">
    <cfRule type="expression" dxfId="46" priority="6">
      <formula>AND(B7&gt;1,#REF!&gt;1)</formula>
    </cfRule>
  </conditionalFormatting>
  <dataValidations count="11">
    <dataValidation type="custom" allowBlank="1" showInputMessage="1" showErrorMessage="1" errorTitle="Input parameter error" error="8bit mode range from 35000000 to 400000000,step 1000000;_x000a_10bit mode range from 70000000 to 400000000,step 1000000" sqref="B11">
      <formula1>OR(AND(B10=8,B11&gt;=35000000,B11&lt;=400000000,MOD(B11,1000000)=0),AND(B10=10,B11&gt;=70000000,B11&lt;=400000000,MOD(B11,1000000)=0))</formula1>
    </dataValidation>
    <dataValidation type="list" allowBlank="1" showInputMessage="1" showErrorMessage="1" errorTitle="Input parameter error" error="Input 8 or 10" sqref="B10">
      <formula1>"8,10"</formula1>
    </dataValidation>
    <dataValidation type="custom" allowBlank="1" showInputMessage="1" showErrorMessage="1" errorTitle="Input parameter error" error="Input range from 0.1 to 10000,step 0.1" sqref="B19">
      <formula1>AND(MOD(10*B19,1)=0,B19&gt;=0.1,B19&lt;=10000)</formula1>
    </dataValidation>
    <dataValidation type="list" allowBlank="1" showInputMessage="1" showErrorMessage="1" errorTitle="Input parameter error" error="Input on or off" sqref="B18">
      <formula1>"on,off"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9">
      <formula1>OR(AND(B8="UltraShort",B9&gt;=1,B9&lt;=100),AND(B8="Standard",B9&gt;=20,B9&lt;=1000000))</formula1>
    </dataValidation>
    <dataValidation type="list" allowBlank="1" showInputMessage="1" showErrorMessage="1" errorTitle="Input parameter error" error="Input parameter error,Input range from 64 to 2048,and is an integer multiple of 2" sqref="B5">
      <formula1>"1,2"</formula1>
    </dataValidation>
    <dataValidation type="custom" allowBlank="1" showInputMessage="1" showErrorMessage="1" errorTitle="Input parameter error" error="Input parameter error,Input range from 16 to 1440,and is an integer multiple of 8" sqref="B2">
      <formula1>AND(MOD(B2,8)=0,B2&gt;=16,B2&lt;=1440/B6)</formula1>
    </dataValidation>
    <dataValidation type="list" allowBlank="1" showInputMessage="1" showErrorMessage="1" errorTitle="Input parameter error" error="Input range is 1,2,4" sqref="B6:B7">
      <formula1>"1,2,4"</formula1>
    </dataValidation>
    <dataValidation type="custom" allowBlank="1" showInputMessage="1" showErrorMessage="1" errorTitle="Input parameter error" error="Input parameter error,Input range from 2 to 1080,and is an integer multiple of 2" sqref="B3">
      <formula1>AND(MOD(B3,2)=0,B3&gt;=2,B3&lt;=1080/B7)</formula1>
    </dataValidation>
    <dataValidation type="list" allowBlank="1" showInputMessage="1" showErrorMessage="1" errorTitle="Input parameter error" error="Input Standard or UltraShort" sqref="B8">
      <formula1>"Standard,UltraShort"</formula1>
    </dataValidation>
    <dataValidation type="list" allowBlank="1" showInputMessage="1" showErrorMessage="1" errorTitle="Input parameter error" error="Input range is 1,2" sqref="B4">
      <formula1>"1,2"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33"/>
  <sheetViews>
    <sheetView topLeftCell="B1" workbookViewId="0">
      <selection activeCell="C25" sqref="C25"/>
    </sheetView>
  </sheetViews>
  <sheetFormatPr defaultRowHeight="13.5" x14ac:dyDescent="0.15"/>
  <cols>
    <col min="1" max="1" width="18.5" hidden="1" customWidth="1"/>
    <col min="2" max="2" width="39.375" customWidth="1"/>
    <col min="3" max="3" width="26.375" customWidth="1"/>
    <col min="10" max="10" width="9.5" bestFit="1" customWidth="1"/>
  </cols>
  <sheetData>
    <row r="1" spans="1:3" ht="15.75" x14ac:dyDescent="0.15">
      <c r="A1" s="96" t="s">
        <v>52</v>
      </c>
      <c r="B1" s="97"/>
      <c r="C1" s="98"/>
    </row>
    <row r="2" spans="1:3" ht="18" customHeight="1" x14ac:dyDescent="0.15">
      <c r="A2" s="12" t="s">
        <v>59</v>
      </c>
      <c r="B2" s="7" t="s">
        <v>53</v>
      </c>
      <c r="C2" s="13">
        <v>1440</v>
      </c>
    </row>
    <row r="3" spans="1:3" ht="15.75" x14ac:dyDescent="0.15">
      <c r="A3" s="12" t="s">
        <v>41</v>
      </c>
      <c r="B3" s="7" t="s">
        <v>60</v>
      </c>
      <c r="C3" s="13">
        <v>1080</v>
      </c>
    </row>
    <row r="4" spans="1:3" ht="15.75" x14ac:dyDescent="0.15">
      <c r="A4" s="12" t="s">
        <v>24</v>
      </c>
      <c r="B4" s="7" t="s">
        <v>61</v>
      </c>
      <c r="C4" s="14">
        <v>10000</v>
      </c>
    </row>
    <row r="5" spans="1:3" ht="15.75" x14ac:dyDescent="0.15">
      <c r="A5" s="12" t="s">
        <v>21</v>
      </c>
      <c r="B5" s="7" t="s">
        <v>62</v>
      </c>
      <c r="C5" s="14">
        <v>8</v>
      </c>
    </row>
    <row r="6" spans="1:3" ht="15.75" x14ac:dyDescent="0.15">
      <c r="A6" s="12" t="s">
        <v>19</v>
      </c>
      <c r="B6" s="7" t="s">
        <v>174</v>
      </c>
      <c r="C6" s="14">
        <v>200000000</v>
      </c>
    </row>
    <row r="7" spans="1:3" ht="15.75" hidden="1" x14ac:dyDescent="0.15">
      <c r="A7" s="12"/>
      <c r="B7" s="7"/>
      <c r="C7" s="14"/>
    </row>
    <row r="8" spans="1:3" ht="15.75" hidden="1" x14ac:dyDescent="0.15">
      <c r="A8" s="12" t="s">
        <v>63</v>
      </c>
      <c r="B8" s="7" t="s">
        <v>54</v>
      </c>
      <c r="C8" s="14">
        <f>MAX(ROUNDUP((C4*1000-14260)/C11,0),1)</f>
        <v>679</v>
      </c>
    </row>
    <row r="9" spans="1:3" ht="15.75" hidden="1" x14ac:dyDescent="0.15">
      <c r="A9" s="12" t="s">
        <v>12</v>
      </c>
      <c r="B9" s="7" t="s">
        <v>55</v>
      </c>
      <c r="C9" s="14" t="str">
        <f>IF((C5&lt;=8),"1","2")</f>
        <v>1</v>
      </c>
    </row>
    <row r="10" spans="1:3" ht="15.75" hidden="1" x14ac:dyDescent="0.15">
      <c r="A10" s="12" t="s">
        <v>10</v>
      </c>
      <c r="B10" s="7" t="s">
        <v>64</v>
      </c>
      <c r="C10" s="14">
        <f>C2*C3*C9+84</f>
        <v>1555284</v>
      </c>
    </row>
    <row r="11" spans="1:3" ht="15.75" hidden="1" x14ac:dyDescent="0.15">
      <c r="A11" s="12" t="s">
        <v>8</v>
      </c>
      <c r="B11" s="7" t="s">
        <v>65</v>
      </c>
      <c r="C11" s="14">
        <f>MIN((IF(B33&lt;552,552,IF(B33&gt;1656,1656,B33))),B32)*1000000*C9/37500</f>
        <v>14720</v>
      </c>
    </row>
    <row r="12" spans="1:3" ht="15.75" hidden="1" x14ac:dyDescent="0.15">
      <c r="A12" s="12" t="s">
        <v>6</v>
      </c>
      <c r="B12" s="7" t="s">
        <v>56</v>
      </c>
      <c r="C12" s="14">
        <f>(C3+30)*C11</f>
        <v>16339200</v>
      </c>
    </row>
    <row r="13" spans="1:3" ht="15.75" x14ac:dyDescent="0.15">
      <c r="A13" s="12" t="s">
        <v>57</v>
      </c>
      <c r="B13" s="7" t="s">
        <v>16</v>
      </c>
      <c r="C13" s="14" t="s">
        <v>15</v>
      </c>
    </row>
    <row r="14" spans="1:3" ht="15.75" x14ac:dyDescent="0.15">
      <c r="A14" s="12" t="s">
        <v>14</v>
      </c>
      <c r="B14" s="7" t="s">
        <v>13</v>
      </c>
      <c r="C14" s="14">
        <v>61.2</v>
      </c>
    </row>
    <row r="15" spans="1:3" ht="15.75" hidden="1" x14ac:dyDescent="0.15">
      <c r="A15" s="12" t="s">
        <v>4</v>
      </c>
      <c r="B15" s="12" t="s">
        <v>3</v>
      </c>
      <c r="C15" s="15">
        <f>MAX(ROUNDUP(((C10*1000000/C6)*1000)/C11,0)*C11,(C8+8)*C11,C12,C11*(IF(C13="off",0,1))*ROUNDUP(1000000000/(C11*C14),0))</f>
        <v>16339200</v>
      </c>
    </row>
    <row r="16" spans="1:3" ht="15.75" x14ac:dyDescent="0.15">
      <c r="A16" s="90" t="s">
        <v>2</v>
      </c>
      <c r="B16" s="99"/>
      <c r="C16" s="100"/>
    </row>
    <row r="17" spans="1:3" ht="27" x14ac:dyDescent="0.15">
      <c r="A17" s="16" t="s">
        <v>1</v>
      </c>
      <c r="B17" s="16" t="s">
        <v>0</v>
      </c>
      <c r="C17" s="17">
        <f>1000000000/C15</f>
        <v>61.20250685468077</v>
      </c>
    </row>
    <row r="30" spans="1:3" ht="27" hidden="1" customHeight="1" x14ac:dyDescent="0.15">
      <c r="A30" s="18" t="s">
        <v>66</v>
      </c>
      <c r="B30" s="19">
        <f>ROUNDUP(((C10*1000000/C6)*1000),0)</f>
        <v>7776420</v>
      </c>
    </row>
    <row r="31" spans="1:3" ht="21.75" hidden="1" customHeight="1" x14ac:dyDescent="0.15">
      <c r="A31" s="18" t="s">
        <v>67</v>
      </c>
      <c r="B31" s="18">
        <f>ROUNDUP((1000000000/C14)*(IF(C13="off",0,1)),0)</f>
        <v>0</v>
      </c>
    </row>
    <row r="32" spans="1:3" ht="23.25" hidden="1" customHeight="1" x14ac:dyDescent="0.15">
      <c r="A32" s="18" t="s">
        <v>68</v>
      </c>
      <c r="B32" s="18">
        <f>IF(ROUNDUP(((C4*1000-14260)*37500/1000000),0)&lt;552,552,ROUNDUP(((C4*1000-14260)*37500/1000000),0))</f>
        <v>374466</v>
      </c>
    </row>
    <row r="33" spans="1:2" ht="27.75" hidden="1" customHeight="1" x14ac:dyDescent="0.15">
      <c r="A33" s="18" t="s">
        <v>69</v>
      </c>
      <c r="B33" s="18">
        <f>ROUNDUP(MAX(B30,B31)*37500/((C3+30)*1000000),0)</f>
        <v>263</v>
      </c>
    </row>
  </sheetData>
  <sheetProtection algorithmName="SHA-512" hashValue="OPTcPi2HUYzp6QrrTsSbLw0mCmmkBb01MEG4sRMgydyyw3b1ZgCM5HPAuSP5qR7zSG6h3lSh5Kw/v9iCsWXblw==" saltValue="rZLr8F7pOHjKtLwWWFKIeg==" spinCount="100000" sheet="1" objects="1" scenarios="1"/>
  <mergeCells count="2">
    <mergeCell ref="A1:C1"/>
    <mergeCell ref="A16:C16"/>
  </mergeCells>
  <phoneticPr fontId="8" type="noConversion"/>
  <dataValidations count="7">
    <dataValidation type="list" allowBlank="1" showInputMessage="1" showErrorMessage="1" errorTitle="参数输入错误" error="请输入8或者10" sqref="C5">
      <formula1>"8,10"</formula1>
    </dataValidation>
    <dataValidation type="whole" allowBlank="1" showInputMessage="1" showErrorMessage="1" errorTitle="参数输入错误" error="输入范围15-1000000" sqref="C4">
      <formula1>20</formula1>
      <formula2>1000000</formula2>
    </dataValidation>
    <dataValidation type="custom" allowBlank="1" showInputMessage="1" showErrorMessage="1" errorTitle="参数输入错误" error="8bit模式下范围35000000-200000000，步长1000000;_x000a_10bit模式下范围70000000-200000000，步长1000000" sqref="C6">
      <formula1>OR(AND(C5=8,C6&gt;=35000000,C6&lt;=200000000,MOD(C6,1000000)=0),AND(C5=10,C6&gt;=70000000,C6&lt;=200000000,MOD(C6,1000000)=0))</formula1>
    </dataValidation>
    <dataValidation type="list" allowBlank="1" showInputMessage="1" showErrorMessage="1" errorTitle="参数输入错误" error="仅能输入on或off" sqref="C13">
      <formula1>"on,off"</formula1>
    </dataValidation>
    <dataValidation type="custom" allowBlank="1" showInputMessage="1" showErrorMessage="1" errorTitle="参数输入错误" error="输入范围为0.1-10000，步进值为0.1" sqref="C14">
      <formula1>AND(MOD(10*C14,1)=0,C14&gt;=0.1,C14&lt;=10000)</formula1>
    </dataValidation>
    <dataValidation type="custom" allowBlank="1" showInputMessage="1" showErrorMessage="1" errorTitle="参数输入错误" error="输入范围64-1440，并且为4的整数倍" sqref="C2">
      <formula1>AND(MOD(C2,4)=0,C2&gt;=64,C2&lt;=1440)</formula1>
    </dataValidation>
    <dataValidation type="custom" allowBlank="1" showInputMessage="1" showErrorMessage="1" errorTitle="参数输入错误" error="输入范围4-1080，并且为2的整数倍" sqref="C3">
      <formula1>AND(MOD(C3,2)=0,C3&gt;=4,C3&lt;=1080)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23"/>
  <sheetViews>
    <sheetView workbookViewId="0">
      <selection activeCell="C37" sqref="C37"/>
    </sheetView>
  </sheetViews>
  <sheetFormatPr defaultRowHeight="13.5" x14ac:dyDescent="0.15"/>
  <cols>
    <col min="1" max="1" width="40.625" style="28" bestFit="1" customWidth="1"/>
    <col min="2" max="2" width="16.625" style="28" customWidth="1"/>
    <col min="3" max="3" width="82.625" style="27" customWidth="1"/>
    <col min="4" max="5" width="9" style="28"/>
    <col min="6" max="6" width="12.75" style="28" hidden="1" customWidth="1"/>
    <col min="7" max="7" width="8.875" style="28" hidden="1" customWidth="1"/>
    <col min="8" max="8" width="13.875" style="28" hidden="1" customWidth="1"/>
    <col min="9" max="9" width="57.75" style="28" hidden="1" customWidth="1"/>
    <col min="10" max="10" width="44.625" style="28" hidden="1" customWidth="1"/>
    <col min="11" max="11" width="24.125" style="28" hidden="1" customWidth="1"/>
    <col min="12" max="12" width="24.75" style="28" customWidth="1"/>
    <col min="13" max="16384" width="9" style="28"/>
  </cols>
  <sheetData>
    <row r="1" spans="1:12" ht="15.75" x14ac:dyDescent="0.15">
      <c r="A1" s="88" t="s">
        <v>74</v>
      </c>
      <c r="B1" s="89"/>
    </row>
    <row r="2" spans="1:12" ht="15.75" x14ac:dyDescent="0.15">
      <c r="A2" s="7" t="s">
        <v>53</v>
      </c>
      <c r="B2" s="30">
        <v>2048</v>
      </c>
      <c r="C2" s="27" t="str">
        <f>IF(AND(B4&gt;1,OR(B6&gt;1,B7&gt;1)),"Please confirm the belowing settings first",IF(OR(B2&gt;2048/B6,B2&lt;16),LOOKUP(B6,F3:F5,I3:I5),IF(B4=2,IF(OR(B2&gt;2048/B4,B2&lt;2048/B4),I11,""),"")))</f>
        <v/>
      </c>
      <c r="F2" s="28" t="s">
        <v>153</v>
      </c>
      <c r="G2" s="28" t="s">
        <v>154</v>
      </c>
      <c r="H2" s="28" t="s">
        <v>155</v>
      </c>
    </row>
    <row r="3" spans="1:12" ht="15.75" x14ac:dyDescent="0.15">
      <c r="A3" s="7" t="s">
        <v>156</v>
      </c>
      <c r="B3" s="30">
        <v>1536</v>
      </c>
      <c r="C3" s="27" t="str">
        <f>IF(AND(B4&gt;1,OR(B6&gt;1,B7&gt;1)),"Please confirm the belowing settings first",IF(OR(B3&gt;1536/B7,B3&lt;2),LOOKUP(B7,F3:F5,J3:J5),IF(B4=2,IF(OR(B3&gt;1536/B4,B3&lt;1536/B4),J11,""),"")))</f>
        <v/>
      </c>
      <c r="F3" s="28">
        <v>1</v>
      </c>
      <c r="G3" s="28">
        <f>8*INT(G7/(8*F3))</f>
        <v>2048</v>
      </c>
      <c r="H3" s="28">
        <f>2*INT(H7/(2*F3))</f>
        <v>1536</v>
      </c>
      <c r="I3" s="67" t="s">
        <v>179</v>
      </c>
      <c r="J3" s="67" t="s">
        <v>180</v>
      </c>
    </row>
    <row r="4" spans="1:12" ht="15.75" x14ac:dyDescent="0.15">
      <c r="A4" s="12" t="s">
        <v>181</v>
      </c>
      <c r="B4" s="14">
        <v>1</v>
      </c>
      <c r="F4" s="28">
        <v>2</v>
      </c>
      <c r="G4" s="28">
        <f>8*INT(G7/(8*F4))</f>
        <v>1024</v>
      </c>
      <c r="H4" s="28">
        <f>2*INT(H7/(2*F4))</f>
        <v>768</v>
      </c>
      <c r="I4" s="67" t="s">
        <v>182</v>
      </c>
      <c r="J4" s="67" t="s">
        <v>183</v>
      </c>
      <c r="K4" s="67"/>
      <c r="L4" s="31"/>
    </row>
    <row r="5" spans="1:12" ht="15.75" x14ac:dyDescent="0.15">
      <c r="A5" s="12" t="s">
        <v>184</v>
      </c>
      <c r="B5" s="15">
        <f>B4</f>
        <v>1</v>
      </c>
      <c r="F5" s="28">
        <v>4</v>
      </c>
      <c r="G5" s="28">
        <f>8*INT(G7/(8*F5))</f>
        <v>512</v>
      </c>
      <c r="H5" s="28">
        <f>2*INT(H7/(2*F5))</f>
        <v>384</v>
      </c>
      <c r="I5" s="67" t="s">
        <v>185</v>
      </c>
      <c r="J5" s="67" t="s">
        <v>186</v>
      </c>
      <c r="K5" s="31"/>
      <c r="L5" s="31"/>
    </row>
    <row r="6" spans="1:12" ht="15.75" x14ac:dyDescent="0.15">
      <c r="A6" s="29" t="s">
        <v>157</v>
      </c>
      <c r="B6" s="14">
        <v>1</v>
      </c>
      <c r="C6" s="27" t="str">
        <f>IF(AND(B6&gt;1,B4&gt;1),"The binning and skipping levels are not set to be greater than 2 at the same time","")</f>
        <v/>
      </c>
      <c r="I6" s="28" t="s">
        <v>187</v>
      </c>
      <c r="K6" s="31"/>
      <c r="L6" s="31"/>
    </row>
    <row r="7" spans="1:12" ht="15.75" x14ac:dyDescent="0.15">
      <c r="A7" s="29" t="s">
        <v>158</v>
      </c>
      <c r="B7" s="14">
        <v>1</v>
      </c>
      <c r="C7" s="27" t="str">
        <f>IF(AND(B7&gt;1,B5&gt;1),"The binning and skipping levels are not set to be greater than 2 at the same time","")</f>
        <v/>
      </c>
      <c r="G7" s="28">
        <v>2048</v>
      </c>
      <c r="H7" s="28">
        <v>1536</v>
      </c>
      <c r="K7" s="31"/>
      <c r="L7" s="31"/>
    </row>
    <row r="8" spans="1:12" ht="15.75" x14ac:dyDescent="0.15">
      <c r="A8" s="12" t="s">
        <v>176</v>
      </c>
      <c r="B8" s="14" t="s">
        <v>177</v>
      </c>
      <c r="K8" s="31"/>
      <c r="L8" s="31"/>
    </row>
    <row r="9" spans="1:12" ht="15.75" customHeight="1" x14ac:dyDescent="0.15">
      <c r="A9" s="7" t="s">
        <v>23</v>
      </c>
      <c r="B9" s="14">
        <v>10000</v>
      </c>
      <c r="C9" s="27" t="str">
        <f>IF(AND(B8="UltraShort",B9&gt;100),"exposure time of ultrashort should not be more than 100us!",IF(AND(B8="Standard",B9&lt;20),"exposure time of standard should not be less than 20us!",""))</f>
        <v/>
      </c>
      <c r="F9" s="20" t="s">
        <v>188</v>
      </c>
      <c r="G9" s="20" t="s">
        <v>189</v>
      </c>
      <c r="H9" s="20" t="s">
        <v>190</v>
      </c>
      <c r="I9" s="20"/>
      <c r="J9" s="20"/>
      <c r="K9" s="31"/>
      <c r="L9" s="31"/>
    </row>
    <row r="10" spans="1:12" ht="14.25" customHeight="1" x14ac:dyDescent="0.15">
      <c r="A10" s="7" t="s">
        <v>191</v>
      </c>
      <c r="B10" s="14">
        <v>0</v>
      </c>
      <c r="F10" s="20">
        <v>1</v>
      </c>
      <c r="G10" s="20">
        <v>2048</v>
      </c>
      <c r="H10" s="20">
        <v>1536</v>
      </c>
      <c r="I10" s="20" t="s">
        <v>192</v>
      </c>
      <c r="J10" s="20" t="s">
        <v>193</v>
      </c>
      <c r="K10" s="31"/>
      <c r="L10" s="31"/>
    </row>
    <row r="11" spans="1:12" ht="16.149999999999999" customHeight="1" x14ac:dyDescent="0.15">
      <c r="A11" s="7" t="s">
        <v>295</v>
      </c>
      <c r="B11" s="14">
        <v>8</v>
      </c>
      <c r="F11" s="20">
        <v>2</v>
      </c>
      <c r="G11" s="20">
        <v>1024</v>
      </c>
      <c r="H11" s="20">
        <v>768</v>
      </c>
      <c r="I11" s="20" t="s">
        <v>194</v>
      </c>
      <c r="J11" s="20" t="s">
        <v>195</v>
      </c>
      <c r="K11" s="31"/>
      <c r="L11" s="31"/>
    </row>
    <row r="12" spans="1:12" ht="16.149999999999999" customHeight="1" x14ac:dyDescent="0.15">
      <c r="A12" s="7" t="s">
        <v>18</v>
      </c>
      <c r="B12" s="14">
        <v>300000000</v>
      </c>
      <c r="F12" s="20"/>
      <c r="G12" s="20"/>
      <c r="H12" s="20"/>
      <c r="I12" s="32" t="s">
        <v>196</v>
      </c>
      <c r="J12" s="20"/>
    </row>
    <row r="13" spans="1:12" ht="16.149999999999999" hidden="1" customHeight="1" x14ac:dyDescent="0.15">
      <c r="A13" s="7"/>
      <c r="B13" s="14"/>
      <c r="F13" s="20"/>
      <c r="G13" s="20">
        <v>2048</v>
      </c>
      <c r="H13" s="20">
        <v>1536</v>
      </c>
      <c r="I13" s="20"/>
      <c r="J13" s="20"/>
    </row>
    <row r="14" spans="1:12" ht="15.75" hidden="1" x14ac:dyDescent="0.15">
      <c r="A14" s="7" t="s">
        <v>54</v>
      </c>
      <c r="B14" s="30">
        <f>IF(B8="Standard",MAX(ROUNDUP((B9-13.73)/B17,0),1),IF(B9&gt;14,ROUNDUP((B9-13.73),0),1))</f>
        <v>884</v>
      </c>
      <c r="F14" s="20"/>
      <c r="G14" s="20"/>
      <c r="H14" s="20"/>
      <c r="I14" s="20"/>
      <c r="J14" s="20"/>
    </row>
    <row r="15" spans="1:12" ht="16.149999999999999" hidden="1" customHeight="1" x14ac:dyDescent="0.15">
      <c r="A15" s="7" t="s">
        <v>55</v>
      </c>
      <c r="B15" s="30" t="str">
        <f>IF((B11&lt;=8),"1","2")</f>
        <v>1</v>
      </c>
      <c r="F15" s="20"/>
      <c r="G15" s="20"/>
      <c r="H15" s="20"/>
      <c r="I15" s="33"/>
      <c r="J15" s="20"/>
    </row>
    <row r="16" spans="1:12" ht="15.75" hidden="1" x14ac:dyDescent="0.15">
      <c r="A16" s="7" t="s">
        <v>160</v>
      </c>
      <c r="B16" s="30">
        <f>B2*B3*B15+84</f>
        <v>3145812</v>
      </c>
      <c r="F16" s="20"/>
      <c r="G16" s="20"/>
      <c r="H16" s="20" t="s">
        <v>197</v>
      </c>
      <c r="I16" s="20">
        <f>IF(OR(B4=2,B5=2),397.5,423.75)</f>
        <v>423.75</v>
      </c>
      <c r="J16" s="20"/>
    </row>
    <row r="17" spans="1:10" ht="15.75" hidden="1" x14ac:dyDescent="0.15">
      <c r="A17" s="7" t="s">
        <v>161</v>
      </c>
      <c r="B17" s="30">
        <f>ROUNDUP(I16/37.5*1000,10)/1000</f>
        <v>11.3</v>
      </c>
      <c r="F17" s="20"/>
      <c r="G17" s="20"/>
      <c r="H17" s="20" t="s">
        <v>198</v>
      </c>
      <c r="I17" s="20">
        <f>IF(B8="Standard",ROUNDUP((B14+12)*B17,0)+ROUNDUP(B10/B17,0)*B17,B14+ROUNDUP((B3*B7+32)*B17+10,0)+B10+ROUNDUP(I21,0))</f>
        <v>10125</v>
      </c>
      <c r="J17" s="20"/>
    </row>
    <row r="18" spans="1:10" ht="15.75" hidden="1" x14ac:dyDescent="0.15">
      <c r="A18" s="7" t="s">
        <v>56</v>
      </c>
      <c r="B18" s="30">
        <f>IF(B8="Standard",(B3*B7+38)*B17,ROUNDUP((B3*B7+38)*B17,0)+10)</f>
        <v>17786.2</v>
      </c>
      <c r="F18"/>
      <c r="G18"/>
      <c r="H18" t="s">
        <v>199</v>
      </c>
      <c r="I18">
        <f>IF(B8="Standard",ROUNDUP((B3*B7+32)*B17,0),ROUNDUP((B3*B7+32)*B17,0)+10)</f>
        <v>17719</v>
      </c>
      <c r="J18"/>
    </row>
    <row r="19" spans="1:10" ht="15.75" x14ac:dyDescent="0.15">
      <c r="A19" s="7" t="s">
        <v>16</v>
      </c>
      <c r="B19" s="30" t="s">
        <v>15</v>
      </c>
      <c r="C19" s="27" t="str">
        <f>IF(OR(B3&gt;1536/B7,B3&lt;2,B2&gt;2048/B6,B2&lt;2),I6,IF(B4=2,IF(OR(B2&gt;2048/B4,B2&lt;2048/B4),I12,""),""))</f>
        <v/>
      </c>
      <c r="F19"/>
      <c r="G19"/>
      <c r="H19" s="20" t="s">
        <v>200</v>
      </c>
      <c r="I19" s="28">
        <f>IF(B8="Standard",ROUNDUP(MAX(ROUNDUP(B16*1000000/397000000/B17,0),ROUNDUP(B16*1000000/B12/B17,0))*B17,0),MAX(ROUNDUP(B16*1000000/397000000,0),ROUNDUP(B16*1000000/B12,0)))</f>
        <v>10487</v>
      </c>
      <c r="J19"/>
    </row>
    <row r="20" spans="1:10" ht="15.75" x14ac:dyDescent="0.15">
      <c r="A20" s="7" t="s">
        <v>13</v>
      </c>
      <c r="B20" s="30">
        <v>56</v>
      </c>
      <c r="F20"/>
      <c r="G20"/>
      <c r="H20" s="20" t="s">
        <v>201</v>
      </c>
      <c r="I20">
        <f>ROUNDUP(IF(B8="Standard",B17*(IF(B19="off",0,1))*ROUNDUP(1000*1000/(B17*B20),0),(IF(B19="off",0,1))*ROUNDUP(1000*1000/B20,0)),0)</f>
        <v>0</v>
      </c>
      <c r="J20"/>
    </row>
    <row r="21" spans="1:10" ht="15.75" hidden="1" x14ac:dyDescent="0.15">
      <c r="A21" s="7" t="s">
        <v>162</v>
      </c>
      <c r="B21" s="34">
        <f>MAX(I17,I18,I19,I20)</f>
        <v>17719</v>
      </c>
      <c r="H21" s="20" t="s">
        <v>178</v>
      </c>
      <c r="I21">
        <f>IF(AND(B8="UltraShort",B9&lt;=13),14.4,13.73)</f>
        <v>13.73</v>
      </c>
    </row>
    <row r="22" spans="1:10" ht="15.75" x14ac:dyDescent="0.15">
      <c r="A22" s="90" t="s">
        <v>102</v>
      </c>
      <c r="B22" s="91"/>
    </row>
    <row r="23" spans="1:10" ht="27" x14ac:dyDescent="0.15">
      <c r="A23" s="35" t="s">
        <v>164</v>
      </c>
      <c r="B23" s="36">
        <f>1000000/B21</f>
        <v>56.43659348721711</v>
      </c>
    </row>
  </sheetData>
  <sheetProtection algorithmName="SHA-512" hashValue="DMcWhwg4A8kTcNh08eHtDoo2NvrI5n1Atxfco/r23SZVE6eTW6iXSaE3V6TwoZ+4bCo1zlA0UTwsYordULxKnA==" saltValue="+yV3b/oxmgSbnzYq4MTbog==" spinCount="100000" sheet="1" objects="1" scenarios="1"/>
  <mergeCells count="2">
    <mergeCell ref="A1:B1"/>
    <mergeCell ref="A22:B22"/>
  </mergeCells>
  <phoneticPr fontId="8" type="noConversion"/>
  <conditionalFormatting sqref="B2">
    <cfRule type="cellIs" dxfId="45" priority="4" operator="notBetween">
      <formula>16</formula>
      <formula>$G$7</formula>
    </cfRule>
  </conditionalFormatting>
  <conditionalFormatting sqref="B3">
    <cfRule type="cellIs" dxfId="44" priority="3" operator="notBetween">
      <formula>2</formula>
      <formula>$H$7</formula>
    </cfRule>
  </conditionalFormatting>
  <conditionalFormatting sqref="B6">
    <cfRule type="expression" dxfId="43" priority="1">
      <formula>AND(#REF!&gt;1,B6&gt;1)</formula>
    </cfRule>
  </conditionalFormatting>
  <conditionalFormatting sqref="B7">
    <cfRule type="expression" dxfId="42" priority="2">
      <formula>AND(B7&gt;1,#REF!&gt;1)</formula>
    </cfRule>
  </conditionalFormatting>
  <dataValidations count="12">
    <dataValidation type="custom" allowBlank="1" showInputMessage="1" showErrorMessage="1" errorTitle="Input parameter error" error="Input range from 0.1 to 10000,step 0.1" sqref="B20">
      <formula1>AND(MOD(10*B20,1)=0,B20&gt;=0.1,B20&lt;=10000)</formula1>
    </dataValidation>
    <dataValidation type="list" allowBlank="1" showInputMessage="1" showErrorMessage="1" errorTitle="Input parameter error" error="Input range is 1,2" sqref="B4:B5">
      <formula1>"1,2"</formula1>
    </dataValidation>
    <dataValidation type="list" allowBlank="1" showInputMessage="1" showErrorMessage="1" errorTitle="Input parameter error" error="Input on or off" sqref="B19">
      <formula1>"on,off"</formula1>
    </dataValidation>
    <dataValidation type="custom" allowBlank="1" showInputMessage="1" showErrorMessage="1" errorTitle="Input parameter error" error="Input parameter error,Input range from 16 to 2048,and is an integer multiple of 8" sqref="B2">
      <formula1>AND(MOD(B2,8)=0,B2&gt;=16,B2&lt;=2048/B4,B2&lt;=2048/B6)</formula1>
    </dataValidation>
    <dataValidation type="custom" allowBlank="1" showInputMessage="1" showErrorMessage="1" errorTitle="Input parameter error" error="Input parameter error,Input range from 2 to 1536,and is an integer multiple of 2" sqref="B3">
      <formula1>AND(MOD(B3,2)=0,B3&gt;=2,B3&lt;=1536/B5,B3&lt;=1536/B7)</formula1>
    </dataValidation>
    <dataValidation allowBlank="1" showInputMessage="1" showErrorMessage="1" errorTitle="参数输入错误" error="8bit模式下范围35000000-400000000，步长1000000;_x000a_10bit模式下范围70000000-400000000，步长1000000" sqref="B13"/>
    <dataValidation type="list" allowBlank="1" showInputMessage="1" showErrorMessage="1" errorTitle="Input parameter error" error="Input Standard or UltraShort" sqref="B8">
      <formula1>"Standard,UltraShort"</formula1>
    </dataValidation>
    <dataValidation type="list" allowBlank="1" showInputMessage="1" showErrorMessage="1" errorTitle="Input parameter error" error="Input range is 1,2,4" sqref="B6:B7">
      <formula1>"1,2,4"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9">
      <formula1>OR(AND(B8="UltraShort",B9&gt;=1,B9&lt;=100),AND(B8="Standard",B9&gt;=20,B9&lt;=1000000))</formula1>
    </dataValidation>
    <dataValidation type="list" allowBlank="1" showInputMessage="1" showErrorMessage="1" errorTitle="Input parameter error" error="Input 8 or 12" sqref="B11">
      <formula1>"8,12"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2">
      <formula1>OR(AND(B11=8,B12&gt;=35000000,B12&lt;=400000000,MOD(B12,1000000)=0),AND(B11=10,B12&gt;=70000000,B12&lt;=400000000,MOD(B12,1000000)=0))</formula1>
    </dataValidation>
    <dataValidation type="whole" allowBlank="1" showInputMessage="1" showErrorMessage="1" error="输入范围0-5000us" sqref="B10">
      <formula1>0</formula1>
      <formula2>5000</formula2>
    </dataValidation>
  </dataValidations>
  <pageMargins left="0.7" right="0.7" top="0.75" bottom="0.75" header="0.3" footer="0.3"/>
  <pageSetup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27"/>
  <sheetViews>
    <sheetView workbookViewId="0">
      <selection activeCell="C28" sqref="C28"/>
    </sheetView>
  </sheetViews>
  <sheetFormatPr defaultColWidth="8.875" defaultRowHeight="13.5" x14ac:dyDescent="0.15"/>
  <cols>
    <col min="1" max="1" width="40.625" style="20" customWidth="1"/>
    <col min="2" max="2" width="15.5" style="20" bestFit="1" customWidth="1"/>
    <col min="3" max="5" width="8.875" style="20"/>
    <col min="6" max="6" width="8.875" style="20" customWidth="1"/>
    <col min="7" max="7" width="21.5" style="20" hidden="1" customWidth="1"/>
    <col min="8" max="8" width="23.5" style="20" hidden="1" customWidth="1"/>
    <col min="9" max="9" width="8.875" style="20" hidden="1" customWidth="1"/>
    <col min="10" max="10" width="15.125" style="20" customWidth="1"/>
    <col min="11" max="16384" width="8.875" style="20"/>
  </cols>
  <sheetData>
    <row r="1" spans="1:9" ht="15.75" x14ac:dyDescent="0.15">
      <c r="A1" s="88" t="s">
        <v>119</v>
      </c>
      <c r="B1" s="89"/>
      <c r="G1" s="101" t="s">
        <v>75</v>
      </c>
      <c r="H1" s="102"/>
      <c r="I1" s="103"/>
    </row>
    <row r="2" spans="1:9" ht="15.75" x14ac:dyDescent="0.15">
      <c r="A2" s="21" t="s">
        <v>76</v>
      </c>
      <c r="B2" s="13">
        <v>2592</v>
      </c>
      <c r="G2" s="22" t="s">
        <v>77</v>
      </c>
      <c r="H2" s="22">
        <v>2592</v>
      </c>
      <c r="I2" s="22"/>
    </row>
    <row r="3" spans="1:9" ht="15.75" x14ac:dyDescent="0.15">
      <c r="A3" s="21" t="s">
        <v>78</v>
      </c>
      <c r="B3" s="13">
        <v>1944</v>
      </c>
      <c r="G3" s="22" t="s">
        <v>120</v>
      </c>
      <c r="H3" s="22">
        <f>B3</f>
        <v>1944</v>
      </c>
      <c r="I3" s="22"/>
    </row>
    <row r="4" spans="1:9" ht="15.75" x14ac:dyDescent="0.15">
      <c r="A4" s="7" t="s">
        <v>23</v>
      </c>
      <c r="B4" s="14">
        <v>20000</v>
      </c>
      <c r="G4" s="101" t="s">
        <v>80</v>
      </c>
      <c r="H4" s="102"/>
      <c r="I4" s="103"/>
    </row>
    <row r="5" spans="1:9" ht="15.75" x14ac:dyDescent="0.15">
      <c r="A5" s="7" t="s">
        <v>81</v>
      </c>
      <c r="B5" s="14">
        <v>8</v>
      </c>
      <c r="G5" s="22" t="s">
        <v>77</v>
      </c>
      <c r="H5" s="22">
        <v>2592</v>
      </c>
      <c r="I5" s="22"/>
    </row>
    <row r="6" spans="1:9" ht="15.75" x14ac:dyDescent="0.15">
      <c r="A6" s="7" t="s">
        <v>18</v>
      </c>
      <c r="B6" s="14">
        <v>200000000</v>
      </c>
      <c r="G6" s="22" t="s">
        <v>79</v>
      </c>
      <c r="H6" s="22">
        <f>IF(H3&gt;=372,H3,372)</f>
        <v>1944</v>
      </c>
      <c r="I6" s="22"/>
    </row>
    <row r="7" spans="1:9" ht="15.75" hidden="1" x14ac:dyDescent="0.15">
      <c r="A7" s="7"/>
      <c r="B7" s="14"/>
      <c r="G7" s="101"/>
      <c r="H7" s="102"/>
      <c r="I7" s="103"/>
    </row>
    <row r="8" spans="1:9" ht="15.75" x14ac:dyDescent="0.15">
      <c r="A8" s="7" t="s">
        <v>82</v>
      </c>
      <c r="B8" s="14" t="s">
        <v>15</v>
      </c>
      <c r="G8" s="22" t="s">
        <v>83</v>
      </c>
      <c r="H8" s="22">
        <f>IF(B5=8,1,2)*ROUNDUP(510*(10^6/37500),0)</f>
        <v>13600</v>
      </c>
      <c r="I8" s="22" t="s">
        <v>33</v>
      </c>
    </row>
    <row r="9" spans="1:9" ht="15.75" x14ac:dyDescent="0.15">
      <c r="A9" s="7" t="s">
        <v>16</v>
      </c>
      <c r="B9" s="14" t="s">
        <v>15</v>
      </c>
      <c r="G9" s="22" t="s">
        <v>121</v>
      </c>
      <c r="H9" s="22">
        <v>0</v>
      </c>
      <c r="I9" s="22" t="s">
        <v>122</v>
      </c>
    </row>
    <row r="10" spans="1:9" ht="15.75" x14ac:dyDescent="0.15">
      <c r="A10" s="7" t="s">
        <v>13</v>
      </c>
      <c r="B10" s="14">
        <v>36.9</v>
      </c>
      <c r="G10" s="22" t="s">
        <v>123</v>
      </c>
      <c r="H10" s="22">
        <v>32</v>
      </c>
      <c r="I10" s="22" t="s">
        <v>124</v>
      </c>
    </row>
    <row r="11" spans="1:9" ht="15.75" hidden="1" x14ac:dyDescent="0.15">
      <c r="A11" s="12" t="s">
        <v>125</v>
      </c>
      <c r="B11" s="15" t="str">
        <f>IF((B5&lt;=8),"1","2")</f>
        <v>1</v>
      </c>
      <c r="G11" s="22" t="s">
        <v>126</v>
      </c>
      <c r="H11" s="22">
        <v>21</v>
      </c>
      <c r="I11" s="22" t="s">
        <v>127</v>
      </c>
    </row>
    <row r="12" spans="1:9" ht="15.75" hidden="1" x14ac:dyDescent="0.15">
      <c r="A12" s="12" t="s">
        <v>128</v>
      </c>
      <c r="B12" s="15">
        <f>H15</f>
        <v>5038932</v>
      </c>
      <c r="G12" s="22" t="s">
        <v>129</v>
      </c>
      <c r="H12" s="22">
        <v>32</v>
      </c>
      <c r="I12" s="22" t="s">
        <v>124</v>
      </c>
    </row>
    <row r="13" spans="1:9" ht="15.75" hidden="1" x14ac:dyDescent="0.15">
      <c r="A13" s="12" t="s">
        <v>130</v>
      </c>
      <c r="B13" s="15">
        <f>H8</f>
        <v>13600</v>
      </c>
      <c r="G13" s="22" t="s">
        <v>131</v>
      </c>
      <c r="H13" s="22">
        <v>48</v>
      </c>
      <c r="I13" s="22" t="s">
        <v>124</v>
      </c>
    </row>
    <row r="14" spans="1:9" ht="15.75" hidden="1" x14ac:dyDescent="0.15">
      <c r="A14" s="12" t="s">
        <v>132</v>
      </c>
      <c r="B14" s="15">
        <f>B15</f>
        <v>27091200</v>
      </c>
      <c r="G14" s="22" t="s">
        <v>133</v>
      </c>
      <c r="H14" s="22">
        <v>5</v>
      </c>
      <c r="I14" s="22" t="s">
        <v>124</v>
      </c>
    </row>
    <row r="15" spans="1:9" ht="15.75" hidden="1" x14ac:dyDescent="0.15">
      <c r="A15" s="12" t="s">
        <v>134</v>
      </c>
      <c r="B15" s="15">
        <f>H22</f>
        <v>27091200</v>
      </c>
      <c r="G15" s="22" t="s">
        <v>135</v>
      </c>
      <c r="H15" s="22">
        <f>IF(B5=8,1,2)*B2*B3+84</f>
        <v>5038932</v>
      </c>
      <c r="I15" s="22" t="s">
        <v>136</v>
      </c>
    </row>
    <row r="16" spans="1:9" ht="15.75" x14ac:dyDescent="0.15">
      <c r="A16" s="90" t="s">
        <v>137</v>
      </c>
      <c r="B16" s="91"/>
      <c r="G16" s="101"/>
      <c r="H16" s="102"/>
      <c r="I16" s="103"/>
    </row>
    <row r="17" spans="1:9" ht="27" x14ac:dyDescent="0.15">
      <c r="A17" s="16" t="s">
        <v>138</v>
      </c>
      <c r="B17" s="17">
        <f>1000000000/B15</f>
        <v>36.91235530356721</v>
      </c>
      <c r="G17" s="22" t="s">
        <v>139</v>
      </c>
      <c r="H17" s="22">
        <f>H10+MAX(H6+H13-H10,2+H11+ROUNDUP(1000*H9/H8,0))</f>
        <v>1992</v>
      </c>
      <c r="I17" s="22" t="s">
        <v>124</v>
      </c>
    </row>
    <row r="18" spans="1:9" x14ac:dyDescent="0.15">
      <c r="G18" s="22" t="s">
        <v>140</v>
      </c>
      <c r="H18" s="22">
        <f>ROUNDUP(1000*B4/H8,0)+(H14)</f>
        <v>1476</v>
      </c>
      <c r="I18" s="22" t="s">
        <v>124</v>
      </c>
    </row>
    <row r="19" spans="1:9" x14ac:dyDescent="0.15">
      <c r="G19" s="22" t="s">
        <v>141</v>
      </c>
      <c r="H19" s="22">
        <f>IF(B9="ON",IF(B8="ON",ROUNDUP(((10^9/B10)-((H10+H14+H26)*H25))/H8+(H10+H14+H26),0),ROUNDUP(10^9/(B10*H8),0)),0)</f>
        <v>0</v>
      </c>
      <c r="I19" s="22" t="s">
        <v>124</v>
      </c>
    </row>
    <row r="20" spans="1:9" x14ac:dyDescent="0.15">
      <c r="G20" s="22" t="s">
        <v>142</v>
      </c>
      <c r="H20" s="22">
        <f>IF((B8="on"),ROUNDUP(((H15/MIN(200000000,B6))*10^9-((H10+H14+H26)*H25))/H8+(H10+H14+H26),0),ROUNDUP(H15/MIN(200000000,B6)*10^9/H8,0))</f>
        <v>1853</v>
      </c>
      <c r="I20" s="22" t="s">
        <v>124</v>
      </c>
    </row>
    <row r="21" spans="1:9" x14ac:dyDescent="0.15">
      <c r="G21" s="22" t="s">
        <v>143</v>
      </c>
      <c r="H21" s="22">
        <f>IF(B8="OFF",(H17+H18+2*H12),(H17+H18+H26+(2*H12)))</f>
        <v>3532</v>
      </c>
      <c r="I21" s="22" t="s">
        <v>124</v>
      </c>
    </row>
    <row r="22" spans="1:9" x14ac:dyDescent="0.15">
      <c r="G22" s="22" t="s">
        <v>144</v>
      </c>
      <c r="H22" s="22">
        <f>IF(B8="off",(ROUNDUP(MAX(H17,H18,H19,H20)*H8,0)),(ROUNDUP(MAX(H23,((H19-H10-H14-H26)*H8+(H10+H14+H26)*H25),(H20-H10-H14-H26)*H8+(H10+H14+H26)*H25),0)))</f>
        <v>27091200</v>
      </c>
      <c r="I22" s="22" t="s">
        <v>145</v>
      </c>
    </row>
    <row r="23" spans="1:9" x14ac:dyDescent="0.15">
      <c r="G23" s="22" t="s">
        <v>146</v>
      </c>
      <c r="H23" s="22" t="str">
        <f>IF(B8="OFF","-",IF(H27=0,ROUNDUP(((H17-H10+H18-H14)*H8+((2*H12)+H10+H14+H26)*H25),0),ROUNDUP((((2*H12)+H17-H10+H18-H14)*H8+(H10+H14+H26)*H25),0)))</f>
        <v>-</v>
      </c>
      <c r="I23" s="22" t="s">
        <v>145</v>
      </c>
    </row>
    <row r="24" spans="1:9" x14ac:dyDescent="0.15">
      <c r="G24" s="101"/>
      <c r="H24" s="102"/>
      <c r="I24" s="103"/>
    </row>
    <row r="25" spans="1:9" x14ac:dyDescent="0.15">
      <c r="G25" s="22" t="s">
        <v>147</v>
      </c>
      <c r="H25" s="22">
        <f>ROUNDUP(510*(10^6/37500),0)</f>
        <v>13600</v>
      </c>
      <c r="I25" s="22" t="s">
        <v>145</v>
      </c>
    </row>
    <row r="26" spans="1:9" x14ac:dyDescent="0.15">
      <c r="G26" s="22" t="s">
        <v>148</v>
      </c>
      <c r="H26" s="22">
        <v>1944</v>
      </c>
      <c r="I26" s="22" t="s">
        <v>124</v>
      </c>
    </row>
    <row r="27" spans="1:9" x14ac:dyDescent="0.15">
      <c r="G27" s="22" t="s">
        <v>149</v>
      </c>
      <c r="H27" s="22">
        <f>IF(AND(H3+H10+H12-(H18+H26)&gt;=0,H3+H10+H12-(H18+H26)&lt;=2*H12),0,1)</f>
        <v>1</v>
      </c>
      <c r="I27" s="22" t="s">
        <v>150</v>
      </c>
    </row>
  </sheetData>
  <sheetProtection algorithmName="SHA-512" hashValue="nwl7sbvjVGnEd3qP48BqPm1EcClG8T/+K++sQFyyRbOHVUwQ9y/wH/yuAbJtusH1JR5l3ULhUOixfDawx8w8IA==" saltValue="XSzVRcKP1p7oWda6XNojiQ==" spinCount="100000" sheet="1" objects="1" scenarios="1"/>
  <mergeCells count="7">
    <mergeCell ref="G24:I24"/>
    <mergeCell ref="A1:B1"/>
    <mergeCell ref="G1:I1"/>
    <mergeCell ref="G4:I4"/>
    <mergeCell ref="G7:I7"/>
    <mergeCell ref="A16:B16"/>
    <mergeCell ref="G16:I16"/>
  </mergeCells>
  <phoneticPr fontId="8" type="noConversion"/>
  <dataValidations count="7">
    <dataValidation type="custom" allowBlank="1" showInputMessage="1" showErrorMessage="1" errorTitle="Input parameter error" error="8bit mode range from 35000000 to 200000000,step 1000000;_x000a_10bit mode range from 70000000 to 200000000,step 1000000" sqref="B6">
      <formula1>OR(AND(B5=8,B6&gt;=35000000,B6&lt;=200000000,MOD(B6,1000000)=0),AND(B5=10,B6&gt;=70000000,B6&lt;=200000000,MOD(B6,1000000)=0))</formula1>
    </dataValidation>
    <dataValidation type="custom" allowBlank="1" showInputMessage="1" showErrorMessage="1" errorTitle="Input parameter error" error="Input parameter error,Input range from 64 to 2592,and is an integer multiple of 4_x000a_" sqref="B2">
      <formula1>AND(MOD(B2,4)=0,B2&gt;=64,B2&lt;=2592)</formula1>
    </dataValidation>
    <dataValidation type="custom" allowBlank="1" showInputMessage="1" showErrorMessage="1" errorTitle="Input parameter error" error="Input parameter error,Input range from 64 to 1944,and is an integer multiple of 4" sqref="B3">
      <formula1>AND(MOD(B3,4)=0,B3&gt;=64,B3&lt;=1944)</formula1>
    </dataValidation>
    <dataValidation type="custom" allowBlank="1" showInputMessage="1" showErrorMessage="1" errorTitle="Input parameter error" error="Input range from 0.1 to 10000,step 0.1" sqref="B10">
      <formula1>AND(MOD(10*B10,1)=0,B10&gt;=0.1,B10&lt;=10000)</formula1>
    </dataValidation>
    <dataValidation type="list" allowBlank="1" showInputMessage="1" showErrorMessage="1" errorTitle="Input parameter error" error="Input on or off" sqref="B8:B9">
      <formula1>"on,off"</formula1>
    </dataValidation>
    <dataValidation type="list" allowBlank="1" showInputMessage="1" showErrorMessage="1" errorTitle="Input parameter error" error="Input 8 or 10" sqref="B5">
      <formula1>"8,10"</formula1>
    </dataValidation>
    <dataValidation type="whole" allowBlank="1" showInputMessage="1" showErrorMessage="1" errorTitle="Input parameter error" error="Input range is 20-1000000" sqref="B4">
      <formula1>20</formula1>
      <formula2>1000000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27"/>
  <sheetViews>
    <sheetView workbookViewId="0">
      <selection activeCell="B27" sqref="B27"/>
    </sheetView>
  </sheetViews>
  <sheetFormatPr defaultColWidth="8.875" defaultRowHeight="13.5" x14ac:dyDescent="0.15"/>
  <cols>
    <col min="1" max="1" width="40.625" style="20" customWidth="1"/>
    <col min="2" max="2" width="15.5" style="20" bestFit="1" customWidth="1"/>
    <col min="3" max="5" width="8.875" style="20"/>
    <col min="6" max="6" width="8.875" style="20" customWidth="1"/>
    <col min="7" max="7" width="21.5" style="20" hidden="1" customWidth="1"/>
    <col min="8" max="8" width="23.5" style="20" hidden="1" customWidth="1"/>
    <col min="9" max="9" width="8.875" style="20" hidden="1" customWidth="1"/>
    <col min="10" max="10" width="15.125" style="20" bestFit="1" customWidth="1"/>
    <col min="11" max="16384" width="8.875" style="20"/>
  </cols>
  <sheetData>
    <row r="1" spans="1:9" ht="15.75" x14ac:dyDescent="0.15">
      <c r="A1" s="88" t="s">
        <v>74</v>
      </c>
      <c r="B1" s="89"/>
      <c r="G1" s="101" t="s">
        <v>75</v>
      </c>
      <c r="H1" s="102"/>
      <c r="I1" s="103"/>
    </row>
    <row r="2" spans="1:9" ht="15.75" x14ac:dyDescent="0.15">
      <c r="A2" s="21" t="s">
        <v>76</v>
      </c>
      <c r="B2" s="13">
        <v>3840</v>
      </c>
      <c r="G2" s="22" t="s">
        <v>77</v>
      </c>
      <c r="H2" s="22">
        <v>3840</v>
      </c>
      <c r="I2" s="22"/>
    </row>
    <row r="3" spans="1:9" ht="15.75" x14ac:dyDescent="0.15">
      <c r="A3" s="21" t="s">
        <v>78</v>
      </c>
      <c r="B3" s="13">
        <v>2160</v>
      </c>
      <c r="G3" s="22" t="s">
        <v>79</v>
      </c>
      <c r="H3" s="22">
        <f>B3</f>
        <v>2160</v>
      </c>
      <c r="I3" s="22"/>
    </row>
    <row r="4" spans="1:9" ht="15.75" x14ac:dyDescent="0.15">
      <c r="A4" s="7" t="s">
        <v>23</v>
      </c>
      <c r="B4" s="14">
        <v>40000</v>
      </c>
      <c r="G4" s="101" t="s">
        <v>80</v>
      </c>
      <c r="H4" s="102"/>
      <c r="I4" s="103"/>
    </row>
    <row r="5" spans="1:9" ht="15.75" x14ac:dyDescent="0.15">
      <c r="A5" s="7" t="s">
        <v>84</v>
      </c>
      <c r="B5" s="14">
        <v>8</v>
      </c>
      <c r="G5" s="22" t="s">
        <v>85</v>
      </c>
      <c r="H5" s="22">
        <v>3840</v>
      </c>
      <c r="I5" s="22"/>
    </row>
    <row r="6" spans="1:9" ht="15.75" x14ac:dyDescent="0.15">
      <c r="A6" s="7" t="s">
        <v>18</v>
      </c>
      <c r="B6" s="14">
        <v>200000000</v>
      </c>
      <c r="G6" s="22" t="s">
        <v>86</v>
      </c>
      <c r="H6" s="22">
        <f>IF(H3&gt;=372,H3,372)</f>
        <v>2160</v>
      </c>
      <c r="I6" s="22"/>
    </row>
    <row r="7" spans="1:9" ht="15.75" hidden="1" x14ac:dyDescent="0.15">
      <c r="A7" s="7"/>
      <c r="B7" s="14"/>
      <c r="G7" s="101"/>
      <c r="H7" s="102"/>
      <c r="I7" s="103"/>
    </row>
    <row r="8" spans="1:9" ht="15.75" x14ac:dyDescent="0.15">
      <c r="A8" s="7" t="s">
        <v>82</v>
      </c>
      <c r="B8" s="14" t="s">
        <v>15</v>
      </c>
      <c r="G8" s="22" t="s">
        <v>87</v>
      </c>
      <c r="H8" s="22">
        <f>IF(B5=8,1,2)*ROUNDUP(768*(10^6/37500),0)</f>
        <v>20480</v>
      </c>
      <c r="I8" s="22" t="s">
        <v>88</v>
      </c>
    </row>
    <row r="9" spans="1:9" ht="15.75" x14ac:dyDescent="0.15">
      <c r="A9" s="7" t="s">
        <v>16</v>
      </c>
      <c r="B9" s="14" t="s">
        <v>15</v>
      </c>
      <c r="G9" s="22" t="s">
        <v>89</v>
      </c>
      <c r="H9" s="22">
        <v>0</v>
      </c>
      <c r="I9" s="22" t="s">
        <v>90</v>
      </c>
    </row>
    <row r="10" spans="1:9" ht="15.75" x14ac:dyDescent="0.15">
      <c r="A10" s="7" t="s">
        <v>13</v>
      </c>
      <c r="B10" s="14">
        <v>22.1</v>
      </c>
      <c r="G10" s="22" t="s">
        <v>91</v>
      </c>
      <c r="H10" s="22">
        <v>32</v>
      </c>
      <c r="I10" s="22" t="s">
        <v>87</v>
      </c>
    </row>
    <row r="11" spans="1:9" ht="15.75" hidden="1" x14ac:dyDescent="0.15">
      <c r="A11" s="12" t="s">
        <v>92</v>
      </c>
      <c r="B11" s="15" t="str">
        <f>IF((B5&lt;=8),"1","2")</f>
        <v>1</v>
      </c>
      <c r="G11" s="22" t="s">
        <v>93</v>
      </c>
      <c r="H11" s="22">
        <v>10</v>
      </c>
      <c r="I11" s="22" t="s">
        <v>83</v>
      </c>
    </row>
    <row r="12" spans="1:9" ht="15.75" hidden="1" x14ac:dyDescent="0.15">
      <c r="A12" s="12" t="s">
        <v>9</v>
      </c>
      <c r="B12" s="15">
        <f>H15</f>
        <v>8294484</v>
      </c>
      <c r="G12" s="22" t="s">
        <v>94</v>
      </c>
      <c r="H12" s="22">
        <v>32</v>
      </c>
      <c r="I12" s="22" t="s">
        <v>87</v>
      </c>
    </row>
    <row r="13" spans="1:9" ht="15.75" hidden="1" x14ac:dyDescent="0.15">
      <c r="A13" s="12" t="s">
        <v>95</v>
      </c>
      <c r="B13" s="15">
        <f>H8</f>
        <v>20480</v>
      </c>
      <c r="G13" s="22" t="s">
        <v>96</v>
      </c>
      <c r="H13" s="22">
        <v>48</v>
      </c>
      <c r="I13" s="22" t="s">
        <v>83</v>
      </c>
    </row>
    <row r="14" spans="1:9" ht="15.75" hidden="1" x14ac:dyDescent="0.15">
      <c r="A14" s="12" t="s">
        <v>5</v>
      </c>
      <c r="B14" s="15">
        <f>B15</f>
        <v>45219840</v>
      </c>
      <c r="G14" s="22" t="s">
        <v>97</v>
      </c>
      <c r="H14" s="22">
        <v>6</v>
      </c>
      <c r="I14" s="22" t="s">
        <v>98</v>
      </c>
    </row>
    <row r="15" spans="1:9" ht="15.75" hidden="1" x14ac:dyDescent="0.15">
      <c r="A15" s="12" t="s">
        <v>99</v>
      </c>
      <c r="B15" s="15">
        <f>H22</f>
        <v>45219840</v>
      </c>
      <c r="G15" s="22" t="s">
        <v>100</v>
      </c>
      <c r="H15" s="22">
        <f>IF(B5=8,1,2)*B2*B3+84</f>
        <v>8294484</v>
      </c>
      <c r="I15" s="22" t="s">
        <v>101</v>
      </c>
    </row>
    <row r="16" spans="1:9" ht="15.75" x14ac:dyDescent="0.15">
      <c r="A16" s="90" t="s">
        <v>102</v>
      </c>
      <c r="B16" s="91"/>
      <c r="G16" s="101"/>
      <c r="H16" s="102"/>
      <c r="I16" s="103"/>
    </row>
    <row r="17" spans="1:9" ht="27" x14ac:dyDescent="0.15">
      <c r="A17" s="16" t="s">
        <v>103</v>
      </c>
      <c r="B17" s="17">
        <f>1000000000/B15</f>
        <v>22.114187047101449</v>
      </c>
      <c r="G17" s="22" t="s">
        <v>104</v>
      </c>
      <c r="H17" s="22">
        <f>H10+MAX(H6+H13-H10,2+H11+ROUNDUP(1000*H9/H8,0))</f>
        <v>2208</v>
      </c>
      <c r="I17" s="22" t="s">
        <v>98</v>
      </c>
    </row>
    <row r="18" spans="1:9" x14ac:dyDescent="0.15">
      <c r="G18" s="22" t="s">
        <v>105</v>
      </c>
      <c r="H18" s="22">
        <f>ROUNDUP(1000*B4/H8,0)+H14</f>
        <v>1960</v>
      </c>
      <c r="I18" s="22" t="s">
        <v>98</v>
      </c>
    </row>
    <row r="19" spans="1:9" x14ac:dyDescent="0.15">
      <c r="G19" s="22" t="s">
        <v>106</v>
      </c>
      <c r="H19" s="22">
        <f>IF(B9="ON",IF(B8="ON",ROUNDUP(((10^9/B10)-((H10+H14+H26)*H25))/H8+(H10+H14+H26),0),ROUNDUP(10^9/(B10*H8),0)),0)</f>
        <v>0</v>
      </c>
      <c r="I19" s="22" t="s">
        <v>98</v>
      </c>
    </row>
    <row r="20" spans="1:9" x14ac:dyDescent="0.15">
      <c r="G20" s="22" t="s">
        <v>107</v>
      </c>
      <c r="H20" s="22">
        <f>IF((B8="on"),ROUNDUP(((H15/MIN(200000000,B6))*10^9-((H10+H14+H26)*H25))/H8+(H10+H14+H26),0),ROUNDUP(H15/MIN(200000000,B6)*10^9/H8,0))</f>
        <v>2026</v>
      </c>
      <c r="I20" s="22" t="s">
        <v>98</v>
      </c>
    </row>
    <row r="21" spans="1:9" x14ac:dyDescent="0.15">
      <c r="G21" s="22" t="s">
        <v>108</v>
      </c>
      <c r="H21" s="22">
        <f>IF(B8="OFF",(H17+H18+2*H12),(H17+H18+H26+(2*H12)))</f>
        <v>4232</v>
      </c>
      <c r="I21" s="22" t="s">
        <v>98</v>
      </c>
    </row>
    <row r="22" spans="1:9" x14ac:dyDescent="0.15">
      <c r="G22" s="22" t="s">
        <v>109</v>
      </c>
      <c r="H22" s="22">
        <f>IF(B8="off",(ROUNDUP(MAX(H17,H18,H19,H20)*H8,0)),(ROUNDUP(MAX(H23,((H19-H10-H14-H26)*H8+(H10+H14+H26)*H25),(H20-H10-H14-H26)*H8+(H10+H14+H26)*H25),0)))</f>
        <v>45219840</v>
      </c>
      <c r="I22" s="22" t="s">
        <v>110</v>
      </c>
    </row>
    <row r="23" spans="1:9" x14ac:dyDescent="0.15">
      <c r="G23" s="22" t="s">
        <v>111</v>
      </c>
      <c r="H23" s="22" t="str">
        <f>IF(B8="OFF","-",IF(H27=0,ROUNDUP(((H17-H10+H18-H14)*H8+((2*H12)+H10+H14+H26)*H25),0),ROUNDUP((((2*H12)+H17-H10+H18-H14)*H8+(H10+H14+H26)*H25),0)))</f>
        <v>-</v>
      </c>
      <c r="I23" s="22" t="s">
        <v>112</v>
      </c>
    </row>
    <row r="24" spans="1:9" x14ac:dyDescent="0.15">
      <c r="G24" s="101"/>
      <c r="H24" s="102"/>
      <c r="I24" s="103"/>
    </row>
    <row r="25" spans="1:9" x14ac:dyDescent="0.15">
      <c r="G25" s="22" t="s">
        <v>113</v>
      </c>
      <c r="H25" s="22">
        <f>ROUNDUP(550*(10^6/37500),0)</f>
        <v>14667</v>
      </c>
      <c r="I25" s="22" t="s">
        <v>110</v>
      </c>
    </row>
    <row r="26" spans="1:9" x14ac:dyDescent="0.15">
      <c r="G26" s="22" t="s">
        <v>114</v>
      </c>
      <c r="H26" s="22">
        <v>2160</v>
      </c>
      <c r="I26" s="22" t="s">
        <v>98</v>
      </c>
    </row>
    <row r="27" spans="1:9" x14ac:dyDescent="0.15">
      <c r="G27" s="22" t="s">
        <v>115</v>
      </c>
      <c r="H27" s="22">
        <f>IF(AND(H3+H10+H12-(H18+H26)&gt;=0,H3+H10+H12-(H18+H26)&lt;=2*H12),0,1)</f>
        <v>1</v>
      </c>
      <c r="I27" s="22" t="s">
        <v>116</v>
      </c>
    </row>
  </sheetData>
  <sheetProtection algorithmName="SHA-512" hashValue="ClYgTkSlgs6DOdtN6+m/4dtS/O7Lsj3iuEiw516RsXZ0CTileBmeF51YWJsvzxN6d50yA+k4b77iaKIOZUDWkw==" saltValue="iV14WiLOdV0WwO1t0Hz2xg==" spinCount="100000" sheet="1" objects="1" scenarios="1"/>
  <mergeCells count="7">
    <mergeCell ref="G24:I24"/>
    <mergeCell ref="A1:B1"/>
    <mergeCell ref="G1:I1"/>
    <mergeCell ref="G4:I4"/>
    <mergeCell ref="G7:I7"/>
    <mergeCell ref="A16:B16"/>
    <mergeCell ref="G16:I16"/>
  </mergeCells>
  <phoneticPr fontId="8" type="noConversion"/>
  <dataValidations count="7">
    <dataValidation type="custom" allowBlank="1" showInputMessage="1" showErrorMessage="1" errorTitle="Input parameter error" error="Input parameter error,Input range from 64 to 2160,and is an integer multiple of 4" sqref="B3">
      <formula1>AND(MOD(B3,4)=0,B3&gt;=64,B3&lt;=2160)</formula1>
    </dataValidation>
    <dataValidation type="custom" allowBlank="1" showInputMessage="1" showErrorMessage="1" errorTitle="Input parameter error" error="Input parameter error,Input range from 64 to 3840,and is an integer multiple of 4_x000a_" sqref="B2">
      <formula1>AND(MOD(B2,4)=0,B2&gt;=64,B2&lt;=3840)</formula1>
    </dataValidation>
    <dataValidation type="custom" allowBlank="1" showInputMessage="1" showErrorMessage="1" errorTitle="Input parameter error" error="8bit mode range from 35000000 to 200000000,step 1000000;_x000a_10bit mode range from 70000000 to 200000000,step 1000000" sqref="B6">
      <formula1>OR(AND(B5=8,B6&gt;=35000000,B6&lt;=200000000,MOD(B6,1000000)=0),AND(B5=10,B6&gt;=70000000,B6&lt;=200000000,MOD(B6,1000000)=0))</formula1>
    </dataValidation>
    <dataValidation type="whole" allowBlank="1" showInputMessage="1" showErrorMessage="1" errorTitle="Input parameter error" error="Input range is 20-1000000" sqref="B4">
      <formula1>20</formula1>
      <formula2>1000000</formula2>
    </dataValidation>
    <dataValidation type="list" allowBlank="1" showInputMessage="1" showErrorMessage="1" errorTitle="Input parameter error" error="Input 8 or 10" sqref="B5">
      <formula1>"8,10"</formula1>
    </dataValidation>
    <dataValidation type="list" allowBlank="1" showInputMessage="1" showErrorMessage="1" errorTitle="Input parameter error" error="Input on or off" sqref="B8:B9">
      <formula1>"on,off"</formula1>
    </dataValidation>
    <dataValidation type="custom" allowBlank="1" showInputMessage="1" showErrorMessage="1" errorTitle="Input parameter error" error="Input range from 0.1 to 10000,step 0.1" sqref="B10">
      <formula1>AND(MOD(10*B10,1)=0,B10&gt;=0.1,B10&lt;=10000)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22"/>
  <sheetViews>
    <sheetView workbookViewId="0">
      <selection activeCell="C34" sqref="C34"/>
    </sheetView>
  </sheetViews>
  <sheetFormatPr defaultRowHeight="13.5" x14ac:dyDescent="0.15"/>
  <cols>
    <col min="1" max="1" width="36.75" customWidth="1"/>
    <col min="2" max="2" width="17.125" customWidth="1"/>
    <col min="3" max="3" width="73.625" customWidth="1"/>
    <col min="4" max="4" width="6.5" customWidth="1"/>
    <col min="5" max="5" width="6.375" customWidth="1"/>
    <col min="6" max="7" width="9" hidden="1" customWidth="1"/>
    <col min="8" max="8" width="12.25" hidden="1" customWidth="1"/>
    <col min="9" max="9" width="26.375" hidden="1" customWidth="1"/>
    <col min="10" max="10" width="3.375" hidden="1" customWidth="1"/>
  </cols>
  <sheetData>
    <row r="1" spans="1:10" ht="15.75" x14ac:dyDescent="0.15">
      <c r="A1" s="88" t="s">
        <v>74</v>
      </c>
      <c r="B1" s="89"/>
      <c r="C1" s="20"/>
      <c r="D1" s="20"/>
      <c r="E1" s="20"/>
      <c r="F1" s="20"/>
      <c r="G1" s="20"/>
      <c r="H1" s="20"/>
      <c r="I1" s="20"/>
      <c r="J1" s="20"/>
    </row>
    <row r="2" spans="1:10" ht="15.75" x14ac:dyDescent="0.15">
      <c r="A2" s="7" t="s">
        <v>53</v>
      </c>
      <c r="B2" s="13">
        <v>1920</v>
      </c>
      <c r="C2" s="40" t="str">
        <f>IF(OR(B2&gt;1920/B4,B2&lt;16),LOOKUP(B4,F3:F5,I3:I5),IF(OR(B2&gt;1920/B6,B2&lt;16),LOOKUP(B6,F10:F12,I10:I12),""))</f>
        <v/>
      </c>
      <c r="D2" s="20"/>
      <c r="E2" s="20"/>
      <c r="F2" s="20" t="s">
        <v>241</v>
      </c>
      <c r="G2" s="20" t="s">
        <v>189</v>
      </c>
      <c r="H2" s="20" t="s">
        <v>190</v>
      </c>
      <c r="I2" s="20"/>
      <c r="J2" s="20"/>
    </row>
    <row r="3" spans="1:10" ht="15.75" x14ac:dyDescent="0.15">
      <c r="A3" s="7" t="s">
        <v>60</v>
      </c>
      <c r="B3" s="13">
        <v>1200</v>
      </c>
      <c r="C3" s="40" t="str">
        <f>IF(OR(B3&gt;1200/B5,B3&lt;2),LOOKUP(B5,F3:F5,J3:J5),IF(OR(B3&gt;1200/B7,B3&lt;2),LOOKUP(B7,F10:F12,J10:J12),""))</f>
        <v/>
      </c>
      <c r="D3" s="20"/>
      <c r="E3" s="20"/>
      <c r="F3" s="20">
        <v>1</v>
      </c>
      <c r="G3" s="20">
        <f>8*INT(G7/(8*F3))</f>
        <v>1920</v>
      </c>
      <c r="H3" s="20">
        <f>2*INT(H7/(2*F3))</f>
        <v>1200</v>
      </c>
      <c r="I3" s="20" t="str">
        <f>"Input range from 16 to "&amp;G3&amp;",and is an integer multiple of 8"</f>
        <v>Input range from 16 to 1920,and is an integer multiple of 8</v>
      </c>
      <c r="J3" s="20" t="str">
        <f>"Input range from 2 to "&amp;H3&amp;",and is an integer multiple of 2"</f>
        <v>Input range from 2 to 1200,and is an integer multiple of 2</v>
      </c>
    </row>
    <row r="4" spans="1:10" ht="15.75" x14ac:dyDescent="0.15">
      <c r="A4" s="12" t="s">
        <v>248</v>
      </c>
      <c r="B4" s="14">
        <v>1</v>
      </c>
      <c r="C4" s="41" t="str">
        <f>IF(AND(B4&gt;1,B6&gt;1),"The binning and skipping levels are not set to be greater than 2 at the same time","")</f>
        <v/>
      </c>
      <c r="D4" s="20"/>
      <c r="E4" s="20"/>
      <c r="F4" s="20">
        <v>2</v>
      </c>
      <c r="G4" s="20">
        <f>8*INT(G7/(8*F4))</f>
        <v>960</v>
      </c>
      <c r="H4" s="20">
        <f>2*INT(H7/(2*F4))</f>
        <v>600</v>
      </c>
      <c r="I4" s="20" t="str">
        <f t="shared" ref="I4:I5" si="0">"Input range from 16 to "&amp;G4&amp;",and is an integer multiple of 8"</f>
        <v>Input range from 16 to 960,and is an integer multiple of 8</v>
      </c>
      <c r="J4" s="20" t="str">
        <f t="shared" ref="J4:J5" si="1">"Input range from 2 to "&amp;H4&amp;",and is an integer multiple of 2"</f>
        <v>Input range from 2 to 600,and is an integer multiple of 2</v>
      </c>
    </row>
    <row r="5" spans="1:10" ht="15" customHeight="1" x14ac:dyDescent="0.15">
      <c r="A5" s="12" t="s">
        <v>249</v>
      </c>
      <c r="B5" s="14">
        <v>1</v>
      </c>
      <c r="C5" s="41" t="str">
        <f>IF(AND(B5&gt;1,B7&gt;1),"The vertical binning and skipping are not set to be greater than 2 at the same time","")</f>
        <v/>
      </c>
      <c r="D5" s="20"/>
      <c r="E5" s="20"/>
      <c r="F5" s="20">
        <v>4</v>
      </c>
      <c r="G5" s="20">
        <f>8*INT(G7/(8*F5))</f>
        <v>480</v>
      </c>
      <c r="H5" s="20">
        <f>2*INT(H7/(2*F5))</f>
        <v>300</v>
      </c>
      <c r="I5" s="20" t="str">
        <f t="shared" si="0"/>
        <v>Input range from 16 to 480,and is an integer multiple of 8</v>
      </c>
      <c r="J5" s="20" t="str">
        <f t="shared" si="1"/>
        <v>Input range from 2 to 300,and is an integer multiple of 2</v>
      </c>
    </row>
    <row r="6" spans="1:10" ht="15.75" x14ac:dyDescent="0.15">
      <c r="A6" s="12" t="s">
        <v>268</v>
      </c>
      <c r="B6" s="14">
        <v>1</v>
      </c>
      <c r="C6" s="20"/>
      <c r="D6" s="20"/>
      <c r="E6" s="20"/>
      <c r="F6" s="20"/>
      <c r="G6" s="20"/>
      <c r="H6" s="20"/>
      <c r="I6" s="20" t="s">
        <v>196</v>
      </c>
      <c r="J6" s="20"/>
    </row>
    <row r="7" spans="1:10" ht="15.75" customHeight="1" x14ac:dyDescent="0.15">
      <c r="A7" s="12" t="s">
        <v>269</v>
      </c>
      <c r="B7" s="14">
        <v>1</v>
      </c>
      <c r="C7" s="20"/>
      <c r="D7" s="20"/>
      <c r="E7" s="20"/>
      <c r="F7" s="20"/>
      <c r="G7" s="20">
        <v>1920</v>
      </c>
      <c r="H7" s="20">
        <v>1200</v>
      </c>
      <c r="I7" s="20"/>
      <c r="J7" s="20"/>
    </row>
    <row r="8" spans="1:10" ht="15.75" customHeight="1" x14ac:dyDescent="0.15">
      <c r="A8" s="7" t="s">
        <v>23</v>
      </c>
      <c r="B8" s="14">
        <v>10000</v>
      </c>
      <c r="C8" s="20"/>
      <c r="D8" s="20"/>
      <c r="E8" s="20"/>
      <c r="F8" s="20"/>
      <c r="G8" s="20"/>
      <c r="H8" s="20"/>
      <c r="I8" s="20"/>
      <c r="J8" s="20"/>
    </row>
    <row r="9" spans="1:10" ht="15.75" customHeight="1" x14ac:dyDescent="0.15">
      <c r="A9" s="7" t="s">
        <v>191</v>
      </c>
      <c r="B9" s="14">
        <v>0</v>
      </c>
      <c r="C9" s="20"/>
      <c r="D9" s="20"/>
      <c r="E9" s="20"/>
      <c r="F9" s="20" t="s">
        <v>188</v>
      </c>
      <c r="G9" s="20" t="s">
        <v>189</v>
      </c>
      <c r="H9" s="20" t="s">
        <v>190</v>
      </c>
      <c r="I9" s="20"/>
      <c r="J9" s="20"/>
    </row>
    <row r="10" spans="1:10" ht="15.75" customHeight="1" x14ac:dyDescent="0.15">
      <c r="A10" s="7" t="s">
        <v>20</v>
      </c>
      <c r="B10" s="14">
        <v>8</v>
      </c>
      <c r="C10" s="20"/>
      <c r="D10" s="20"/>
      <c r="E10" s="20"/>
      <c r="F10" s="20">
        <v>1</v>
      </c>
      <c r="G10" s="20">
        <f>8*INT(G14/(8*F10))</f>
        <v>1920</v>
      </c>
      <c r="H10" s="20">
        <f>2*INT(H14/(2*F10))</f>
        <v>1200</v>
      </c>
      <c r="I10" s="20" t="str">
        <f t="shared" ref="I10:I12" si="2">"Input range from 16 to "&amp;G10&amp;",and is an integer multiple of 8"</f>
        <v>Input range from 16 to 1920,and is an integer multiple of 8</v>
      </c>
      <c r="J10" s="20" t="str">
        <f t="shared" ref="J10:J12" si="3">"Input range from 2 to "&amp;H10&amp;",and is an integer multiple of 2"</f>
        <v>Input range from 2 to 1200,and is an integer multiple of 2</v>
      </c>
    </row>
    <row r="11" spans="1:10" ht="15.75" customHeight="1" x14ac:dyDescent="0.15">
      <c r="A11" s="7" t="s">
        <v>18</v>
      </c>
      <c r="B11" s="14">
        <v>300000000</v>
      </c>
      <c r="C11" s="20"/>
      <c r="D11" s="20"/>
      <c r="E11" s="20"/>
      <c r="F11" s="20">
        <v>2</v>
      </c>
      <c r="G11" s="20">
        <f>8*INT(G14/(8*F11))</f>
        <v>960</v>
      </c>
      <c r="H11" s="20">
        <f>2*INT(H14/(2*F11))</f>
        <v>600</v>
      </c>
      <c r="I11" s="20" t="str">
        <f t="shared" si="2"/>
        <v>Input range from 16 to 960,and is an integer multiple of 8</v>
      </c>
      <c r="J11" s="20" t="str">
        <f t="shared" si="3"/>
        <v>Input range from 2 to 600,and is an integer multiple of 2</v>
      </c>
    </row>
    <row r="12" spans="1:10" ht="15.75" hidden="1" x14ac:dyDescent="0.15">
      <c r="A12" s="7"/>
      <c r="B12" s="14"/>
      <c r="C12" s="20"/>
      <c r="D12" s="20"/>
      <c r="E12" s="20"/>
      <c r="F12" s="20">
        <v>4</v>
      </c>
      <c r="G12" s="20">
        <f>8*INT(G14/(8*F12))</f>
        <v>480</v>
      </c>
      <c r="H12" s="20">
        <f>2*INT(H14/(2*F12))</f>
        <v>300</v>
      </c>
      <c r="I12" s="20" t="str">
        <f t="shared" si="2"/>
        <v>Input range from 16 to 480,and is an integer multiple of 8</v>
      </c>
      <c r="J12" s="20" t="str">
        <f t="shared" si="3"/>
        <v>Input range from 2 to 300,and is an integer multiple of 2</v>
      </c>
    </row>
    <row r="13" spans="1:10" ht="15.75" hidden="1" x14ac:dyDescent="0.15">
      <c r="A13" s="7" t="s">
        <v>54</v>
      </c>
      <c r="B13" s="14">
        <f>MAX(ROUNDUP((B8-13.73)/B16,0),1)</f>
        <v>2081</v>
      </c>
      <c r="C13" s="20"/>
      <c r="D13" s="20"/>
      <c r="E13" s="20"/>
      <c r="F13" s="20"/>
      <c r="G13" s="20"/>
      <c r="H13" s="20"/>
      <c r="I13" s="20" t="s">
        <v>196</v>
      </c>
      <c r="J13" s="20"/>
    </row>
    <row r="14" spans="1:10" ht="15.75" hidden="1" x14ac:dyDescent="0.15">
      <c r="A14" s="7" t="s">
        <v>55</v>
      </c>
      <c r="B14" s="14" t="str">
        <f>IF((B10&lt;=8),"1","2")</f>
        <v>1</v>
      </c>
      <c r="C14" s="20"/>
      <c r="D14" s="20"/>
      <c r="E14" s="20"/>
      <c r="F14" s="20"/>
      <c r="G14" s="20">
        <v>1920</v>
      </c>
      <c r="H14" s="20">
        <v>1200</v>
      </c>
      <c r="I14" s="20"/>
      <c r="J14" s="20"/>
    </row>
    <row r="15" spans="1:10" ht="15.75" hidden="1" x14ac:dyDescent="0.15">
      <c r="A15" s="7" t="s">
        <v>64</v>
      </c>
      <c r="B15" s="14">
        <f>B2*B3*B14+84</f>
        <v>2304084</v>
      </c>
      <c r="C15" s="20"/>
      <c r="D15" s="20"/>
      <c r="E15" s="20"/>
      <c r="F15" s="20"/>
      <c r="G15" s="20"/>
      <c r="H15" s="20"/>
      <c r="I15" s="20"/>
      <c r="J15" s="20"/>
    </row>
    <row r="16" spans="1:10" ht="15.75" hidden="1" x14ac:dyDescent="0.15">
      <c r="A16" s="7" t="s">
        <v>65</v>
      </c>
      <c r="B16" s="14">
        <f>ROUNDUP(IF(B10=8,I17/37.5,2*I17/37.5)*1000,10)/1000</f>
        <v>4.8</v>
      </c>
      <c r="C16" s="20"/>
      <c r="D16" s="20"/>
      <c r="E16" s="20"/>
      <c r="F16" s="20"/>
      <c r="G16" s="20"/>
      <c r="H16" s="20"/>
      <c r="I16" s="20"/>
      <c r="J16" s="20"/>
    </row>
    <row r="17" spans="1:10" ht="15.75" hidden="1" x14ac:dyDescent="0.15">
      <c r="A17" s="7" t="s">
        <v>56</v>
      </c>
      <c r="B17" s="14">
        <f>(B3*B5*B7+38)*B16</f>
        <v>5942.4</v>
      </c>
      <c r="C17" s="40"/>
      <c r="D17" s="20"/>
      <c r="E17" s="20"/>
      <c r="F17" s="20"/>
      <c r="G17" s="20"/>
      <c r="H17" s="20" t="s">
        <v>197</v>
      </c>
      <c r="I17" s="20">
        <f>180</f>
        <v>180</v>
      </c>
      <c r="J17" s="20"/>
    </row>
    <row r="18" spans="1:10" ht="15.75" x14ac:dyDescent="0.15">
      <c r="A18" s="7" t="s">
        <v>16</v>
      </c>
      <c r="B18" s="14" t="s">
        <v>15</v>
      </c>
      <c r="D18" s="20"/>
      <c r="E18" s="20"/>
      <c r="F18" s="20"/>
      <c r="G18" s="20"/>
      <c r="H18" s="20"/>
      <c r="I18" s="20"/>
      <c r="J18" s="20"/>
    </row>
    <row r="19" spans="1:10" ht="15.75" x14ac:dyDescent="0.15">
      <c r="A19" s="7" t="s">
        <v>13</v>
      </c>
      <c r="B19" s="14">
        <v>168</v>
      </c>
      <c r="D19" s="20"/>
      <c r="E19" s="20"/>
      <c r="F19" s="20"/>
      <c r="G19" s="20"/>
      <c r="H19" s="20" t="s">
        <v>198</v>
      </c>
      <c r="I19" s="20">
        <f>ROUNDUP((B13+14)*B16,0)</f>
        <v>10056</v>
      </c>
      <c r="J19" s="20"/>
    </row>
    <row r="20" spans="1:10" ht="15.75" hidden="1" x14ac:dyDescent="0.15">
      <c r="A20" s="12" t="s">
        <v>3</v>
      </c>
      <c r="B20" s="15">
        <f>MAX(I19,I20,I21,I22)</f>
        <v>10056</v>
      </c>
      <c r="H20" t="s">
        <v>199</v>
      </c>
      <c r="I20" s="20">
        <f>ROUNDUP((B3*B5*B7+38)*B16,0)</f>
        <v>5943</v>
      </c>
    </row>
    <row r="21" spans="1:10" ht="15.75" x14ac:dyDescent="0.15">
      <c r="A21" s="90" t="s">
        <v>102</v>
      </c>
      <c r="B21" s="91"/>
      <c r="H21" s="20" t="s">
        <v>200</v>
      </c>
      <c r="I21">
        <f>ROUNDUP(ROUNDUP(B15*1000000/B11/B16,0)*B16,0)</f>
        <v>7685</v>
      </c>
    </row>
    <row r="22" spans="1:10" ht="27" x14ac:dyDescent="0.15">
      <c r="A22" s="16" t="s">
        <v>0</v>
      </c>
      <c r="B22" s="17">
        <f>1000000/B20</f>
        <v>99.443118536197289</v>
      </c>
      <c r="C22" s="42" t="str">
        <f>IF(OR(B3&gt;1200/B5,B3&gt;1200/B7,B3&lt;2,B2&gt;1920/B4,B2&gt;1920/B6,B2&lt;16),I6,"")</f>
        <v/>
      </c>
      <c r="H22" s="20" t="s">
        <v>201</v>
      </c>
      <c r="I22">
        <f>B16*(IF(B18="off",0,1))*ROUNDUP(1000*1000/(B16*B19),0)</f>
        <v>0</v>
      </c>
    </row>
  </sheetData>
  <sheetProtection algorithmName="SHA-512" hashValue="WNqeimbWjDZ79VYe4QS/O6/soRP6ELk9sdYr2Y7S52U7KvsQzTcxZ4JMo+Kdiaydi6HQCJVJSb0XgAY2KBSmwg==" saltValue="i5A0YYZmdEjPxavcep2iAQ==" spinCount="100000" sheet="1" objects="1" scenarios="1"/>
  <dataConsolidate/>
  <mergeCells count="2">
    <mergeCell ref="A1:B1"/>
    <mergeCell ref="A21:B21"/>
  </mergeCells>
  <phoneticPr fontId="8" type="noConversion"/>
  <conditionalFormatting sqref="B2">
    <cfRule type="cellIs" dxfId="41" priority="6" operator="notBetween">
      <formula>16</formula>
      <formula>$G$14</formula>
    </cfRule>
    <cfRule type="cellIs" dxfId="40" priority="8" operator="notBetween">
      <formula>16</formula>
      <formula>$G$7</formula>
    </cfRule>
  </conditionalFormatting>
  <conditionalFormatting sqref="B3">
    <cfRule type="cellIs" dxfId="39" priority="5" operator="notBetween">
      <formula>2</formula>
      <formula>$H$7</formula>
    </cfRule>
    <cfRule type="cellIs" dxfId="38" priority="7" operator="notBetween">
      <formula>2</formula>
      <formula>$H$14</formula>
    </cfRule>
  </conditionalFormatting>
  <conditionalFormatting sqref="B4">
    <cfRule type="expression" dxfId="37" priority="4">
      <formula>AND(B6&gt;1,B4&gt;1)</formula>
    </cfRule>
  </conditionalFormatting>
  <conditionalFormatting sqref="B6">
    <cfRule type="expression" dxfId="36" priority="3">
      <formula>AND(B6&gt;1,B4&gt;1)</formula>
    </cfRule>
  </conditionalFormatting>
  <conditionalFormatting sqref="B5">
    <cfRule type="expression" dxfId="35" priority="2">
      <formula>AND(B5&gt;1,B7&gt;1)</formula>
    </cfRule>
  </conditionalFormatting>
  <conditionalFormatting sqref="B7">
    <cfRule type="expression" dxfId="34" priority="1">
      <formula>AND(B5&gt;1,B7&gt;1)</formula>
    </cfRule>
  </conditionalFormatting>
  <dataValidations count="9">
    <dataValidation type="custom" allowBlank="1" showInputMessage="1" showErrorMessage="1" errorTitle="Input parameter error" error="Input range from 0.1 to 10000,step 0.1" sqref="B19">
      <formula1>AND(MOD(10*B19,1)=0,B19&gt;=0.1,B19&lt;=10000)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1">
      <formula1>OR(AND(B10=8,B11&gt;=35000000,B11&lt;=400000000,MOD(B11,1000000)=0),AND(B10=10,B11&gt;=70000000,B11&lt;=400000000,MOD(B11,1000000)=0))</formula1>
    </dataValidation>
    <dataValidation type="whole" allowBlank="1" showInputMessage="1" showErrorMessage="1" error="exposure delay time range from 0 to 5000us" sqref="B9">
      <formula1>0</formula1>
      <formula2>5000</formula2>
    </dataValidation>
    <dataValidation type="list" allowBlank="1" showInputMessage="1" showErrorMessage="1" errorTitle="Input parameter error" error="Input on or off" sqref="B18">
      <formula1>"on,off"</formula1>
    </dataValidation>
    <dataValidation type="whole" allowBlank="1" showInputMessage="1" showErrorMessage="1" error="exposure time range from 20us to 1s" sqref="B8">
      <formula1>20</formula1>
      <formula2>1000000</formula2>
    </dataValidation>
    <dataValidation type="custom" allowBlank="1" showInputMessage="1" showErrorMessage="1" errorTitle="Input parameter error" error="Input parameter error,Input range from 16 to 1920,and is an integer multiple of 8" sqref="B2">
      <formula1>AND(MOD(B2,8)=0,B2&gt;=16,B2&lt;=1920)</formula1>
    </dataValidation>
    <dataValidation type="list" allowBlank="1" showInputMessage="1" showErrorMessage="1" errorTitle="Input parameter error" error="Input 8 or 10" sqref="B10">
      <formula1>"8,10"</formula1>
    </dataValidation>
    <dataValidation type="list" allowBlank="1" showInputMessage="1" showErrorMessage="1" errorTitle="Input parameter error" error="Input range is 1,2,4" sqref="B4:B7">
      <formula1>"1,2,4"</formula1>
    </dataValidation>
    <dataValidation type="custom" allowBlank="1" showInputMessage="1" showErrorMessage="1" errorTitle="Input parameter error" error="Input parameter error,Input range from 2 to 1200,and is an integer multiple of 2" sqref="B3">
      <formula1>AND(MOD(B3,2)=0,B3&gt;=2,B3&lt;=1200)</formula1>
    </dataValidation>
  </dataValidations>
  <pageMargins left="0.7" right="0.7" top="0.75" bottom="0.75" header="0.3" footer="0.3"/>
  <pageSetup orientation="portrait" horizontalDpi="200" verticalDpi="200" copies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Create a new document." ma:contentTypeScope="" ma:versionID="dbbd2ee9c94f3209ede74140058f6039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abba910608cab6dea4bfcf1650324a8f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3BDC08-657E-4DC0-B129-4F5592EB5194}"/>
</file>

<file path=customXml/itemProps2.xml><?xml version="1.0" encoding="utf-8"?>
<ds:datastoreItem xmlns:ds="http://schemas.openxmlformats.org/officeDocument/2006/customXml" ds:itemID="{5D286642-F547-4906-86BB-A6949E6B26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版本历史</vt:lpstr>
      <vt:lpstr>VEN-042-121U3X</vt:lpstr>
      <vt:lpstr>VEN-134-90U3M-D</vt:lpstr>
      <vt:lpstr>VEN-160-227U3X-FPC</vt:lpstr>
      <vt:lpstr>VEN-161-61U3X</vt:lpstr>
      <vt:lpstr>VEN-302-56U3X-S</vt:lpstr>
      <vt:lpstr>VEN-505-36U3X</vt:lpstr>
      <vt:lpstr>VEN-830-22U3x</vt:lpstr>
      <vt:lpstr>VEN-230-168U3X-FPC</vt:lpstr>
      <vt:lpstr>VE2S-240-159U3X-S</vt:lpstr>
      <vt:lpstr>VEN-301-125U3X-FPC</vt:lpstr>
      <vt:lpstr>VE2S-301-125U3X-S</vt:lpstr>
      <vt:lpstr>VEN-303-107U3X-FPC</vt:lpstr>
      <vt:lpstr>VE2S-501-79U3X-S</vt:lpstr>
      <vt:lpstr>VEN-1220-32U3X-FPC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2024-04-30T08:47:19Z</dcterms:modified>
</cp:coreProperties>
</file>