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版本历史" sheetId="1" r:id="rId1"/>
    <sheet name="MARS-1231-32U3X" sheetId="2" r:id="rId2"/>
    <sheet name="MARS-1230-23U3X" sheetId="3" r:id="rId3"/>
  </sheets>
  <calcPr calcId="152511"/>
</workbook>
</file>

<file path=xl/calcChain.xml><?xml version="1.0" encoding="utf-8"?>
<calcChain xmlns="http://schemas.openxmlformats.org/spreadsheetml/2006/main">
  <c r="B12" i="2" l="1"/>
  <c r="B12" i="3"/>
  <c r="B15" i="3" l="1"/>
  <c r="B16" i="3" s="1"/>
  <c r="C19" i="3"/>
  <c r="H14" i="3"/>
  <c r="G14" i="3"/>
  <c r="B13" i="3"/>
  <c r="B14" i="3" s="1"/>
  <c r="B19" i="3" s="1"/>
  <c r="H12" i="3"/>
  <c r="G12" i="3"/>
  <c r="H11" i="3"/>
  <c r="G11" i="3"/>
  <c r="H10" i="3"/>
  <c r="G10" i="3"/>
  <c r="H7" i="3"/>
  <c r="G7" i="3"/>
  <c r="C7" i="3"/>
  <c r="C6" i="3"/>
  <c r="G5" i="3"/>
  <c r="C5" i="3"/>
  <c r="G4" i="3"/>
  <c r="C4" i="3"/>
  <c r="H3" i="3"/>
  <c r="G3" i="3"/>
  <c r="C3" i="3"/>
  <c r="C2" i="3"/>
  <c r="B21" i="3" l="1"/>
  <c r="C7" i="2"/>
  <c r="C5" i="2"/>
  <c r="C6" i="2"/>
  <c r="C4" i="2"/>
  <c r="C2" i="2"/>
  <c r="H14" i="2" l="1"/>
  <c r="C3" i="2" l="1"/>
  <c r="G14" i="2"/>
  <c r="H12" i="2"/>
  <c r="H11" i="2"/>
  <c r="H10" i="2"/>
  <c r="G12" i="2"/>
  <c r="G11" i="2"/>
  <c r="G10" i="2"/>
  <c r="B15" i="2" l="1"/>
  <c r="B16" i="2" s="1"/>
  <c r="G5" i="2" l="1"/>
  <c r="G4" i="2"/>
  <c r="H3" i="2"/>
  <c r="G3" i="2"/>
  <c r="H7" i="2"/>
  <c r="G7" i="2"/>
  <c r="C19" i="2"/>
  <c r="B13" i="2"/>
  <c r="B14" i="2" l="1"/>
  <c r="B19" i="2" s="1"/>
  <c r="B21" i="2" l="1"/>
</calcChain>
</file>

<file path=xl/sharedStrings.xml><?xml version="1.0" encoding="utf-8"?>
<sst xmlns="http://schemas.openxmlformats.org/spreadsheetml/2006/main" count="103" uniqueCount="62">
  <si>
    <t>v1.00</t>
  </si>
  <si>
    <t>Width</t>
  </si>
  <si>
    <t>ExposureTime(us)</t>
  </si>
  <si>
    <t>PixelFormat(8/10)</t>
  </si>
  <si>
    <t>DeviceLinkThroughputLimit(Bps)</t>
  </si>
  <si>
    <t>MaxUSBControllerThroughput(Bps)</t>
  </si>
  <si>
    <t>xtrig_low</t>
  </si>
  <si>
    <t>N</t>
  </si>
  <si>
    <t>T_acq</t>
  </si>
  <si>
    <t>AcquisitionFrameRateMode</t>
  </si>
  <si>
    <t>off</t>
  </si>
  <si>
    <t>AcquisitionFrameRate</t>
  </si>
  <si>
    <t>binning系数</t>
    <phoneticPr fontId="6" type="noConversion"/>
  </si>
  <si>
    <t>最大宽度</t>
    <phoneticPr fontId="6" type="noConversion"/>
  </si>
  <si>
    <t>BinningHorizontal</t>
    <phoneticPr fontId="6" type="noConversion"/>
  </si>
  <si>
    <t>BinningVertical</t>
    <phoneticPr fontId="6" type="noConversion"/>
  </si>
  <si>
    <t>Tf</t>
    <phoneticPr fontId="6" type="noConversion"/>
  </si>
  <si>
    <t>FPS</t>
    <phoneticPr fontId="6" type="noConversion"/>
  </si>
  <si>
    <t>Height</t>
    <phoneticPr fontId="4" type="noConversion"/>
  </si>
  <si>
    <t>ImageSize</t>
    <phoneticPr fontId="4" type="noConversion"/>
  </si>
  <si>
    <t>最大宽度</t>
    <phoneticPr fontId="6" type="noConversion"/>
  </si>
  <si>
    <t>最大高度</t>
    <phoneticPr fontId="6" type="noConversion"/>
  </si>
  <si>
    <t>skipping系数</t>
    <phoneticPr fontId="6" type="noConversion"/>
  </si>
  <si>
    <t>DecimationHorizontal</t>
    <phoneticPr fontId="6" type="noConversion"/>
  </si>
  <si>
    <t xml:space="preserve"> </t>
    <phoneticPr fontId="4" type="noConversion"/>
  </si>
  <si>
    <t>Trow</t>
    <phoneticPr fontId="4" type="noConversion"/>
  </si>
  <si>
    <t>DecimationVertical</t>
    <phoneticPr fontId="6" type="noConversion"/>
  </si>
  <si>
    <t xml:space="preserve"> </t>
    <phoneticPr fontId="4" type="noConversion"/>
  </si>
  <si>
    <t>Revision History</t>
    <phoneticPr fontId="4" type="noConversion"/>
  </si>
  <si>
    <t>Version</t>
    <phoneticPr fontId="4" type="noConversion"/>
  </si>
  <si>
    <t>Date</t>
    <phoneticPr fontId="4" type="noConversion"/>
  </si>
  <si>
    <t>Revision</t>
    <phoneticPr fontId="4" type="noConversion"/>
  </si>
  <si>
    <t>add mars-1231-32u3x</t>
    <phoneticPr fontId="4" type="noConversion"/>
  </si>
  <si>
    <t>Parameter setting：</t>
    <phoneticPr fontId="6" type="noConversion"/>
  </si>
  <si>
    <t>Calculation result:</t>
    <phoneticPr fontId="6" type="noConversion"/>
  </si>
  <si>
    <t>Input range from 64 to 4096,and is an integer multiple of 8</t>
    <phoneticPr fontId="6" type="noConversion"/>
  </si>
  <si>
    <t>Input range from 64 to 2048,and is an integer multiple of 8</t>
    <phoneticPr fontId="6" type="noConversion"/>
  </si>
  <si>
    <t>Input range from 64 to 3000,and is an integer multiple of 2</t>
    <phoneticPr fontId="4" type="noConversion"/>
  </si>
  <si>
    <t>Input range from 64 to 4096,and is an integer multiple of 16</t>
    <phoneticPr fontId="6" type="noConversion"/>
  </si>
  <si>
    <t>Input range from 64 to 2048,and is an integer multiple of 16</t>
    <phoneticPr fontId="4" type="noConversion"/>
  </si>
  <si>
    <t>Input range from 64 to 3000,and is an integer multiple of 2</t>
    <phoneticPr fontId="4" type="noConversion"/>
  </si>
  <si>
    <t>Input range from 64 to 1500,and is an integer multiple of 2</t>
    <phoneticPr fontId="4" type="noConversion"/>
  </si>
  <si>
    <t xml:space="preserve"> </t>
    <phoneticPr fontId="4" type="noConversion"/>
  </si>
  <si>
    <t xml:space="preserve"> </t>
    <phoneticPr fontId="4" type="noConversion"/>
  </si>
  <si>
    <t>v1.01</t>
    <phoneticPr fontId="4" type="noConversion"/>
  </si>
  <si>
    <t>add mars-1230-23u3x</t>
    <phoneticPr fontId="4" type="noConversion"/>
  </si>
  <si>
    <t>Input parameter error，please input parameter according to message</t>
    <phoneticPr fontId="6" type="noConversion"/>
  </si>
  <si>
    <t>Input range from 64 to 1024,and is an integer multiple of 8</t>
    <phoneticPr fontId="6" type="noConversion"/>
  </si>
  <si>
    <t>Input range from 64 to 744,and is an integer multiple of 2</t>
    <phoneticPr fontId="6" type="noConversion"/>
  </si>
  <si>
    <t>Input range from 64 to 1024,and is an integer multiple of 16</t>
    <phoneticPr fontId="6" type="noConversion"/>
  </si>
  <si>
    <t>PixelFormat(8/12)</t>
    <phoneticPr fontId="4" type="noConversion"/>
  </si>
  <si>
    <t xml:space="preserve"> </t>
    <phoneticPr fontId="4" type="noConversion"/>
  </si>
  <si>
    <t>Input range from 64 to 1500,and is an integer multiple of 2</t>
    <phoneticPr fontId="4" type="noConversion"/>
  </si>
  <si>
    <t>Input range from 64 to 750,and is an integer multiple of 2</t>
    <phoneticPr fontId="4" type="noConversion"/>
  </si>
  <si>
    <t>Input range from 64 to 500,and is an integer multiple of 2</t>
    <phoneticPr fontId="4" type="noConversion"/>
  </si>
  <si>
    <t>MaxUSBControllerThroughput(Bps)</t>
    <phoneticPr fontId="4" type="noConversion"/>
  </si>
  <si>
    <t xml:space="preserve"> </t>
    <phoneticPr fontId="4" type="noConversion"/>
  </si>
  <si>
    <t xml:space="preserve"> </t>
    <phoneticPr fontId="4" type="noConversion"/>
  </si>
  <si>
    <t xml:space="preserve"> </t>
    <phoneticPr fontId="4" type="noConversion"/>
  </si>
  <si>
    <t xml:space="preserve"> </t>
    <phoneticPr fontId="4" type="noConversion"/>
  </si>
  <si>
    <t xml:space="preserve"> </t>
    <phoneticPr fontId="4" type="noConversion"/>
  </si>
  <si>
    <t xml:space="preserve"> 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</si>
</sst>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宋体"/>
      <family val="2"/>
      <scheme val="minor"/>
    </font>
    <font>
      <sz val="11"/>
      <color theme="1"/>
      <name val="宋体"/>
      <family val="2"/>
      <scheme val="minor"/>
    </font>
    <font>
      <sz val="11"/>
      <color rgb="FFFF0000"/>
      <name val="宋体"/>
      <family val="2"/>
      <charset val="134"/>
      <scheme val="minor"/>
    </font>
    <font>
      <sz val="11"/>
      <color theme="1"/>
      <name val="宋体"/>
      <family val="2"/>
      <charset val="134"/>
    </font>
    <font>
      <sz val="9"/>
      <name val="宋体"/>
      <family val="3"/>
      <charset val="134"/>
      <scheme val="minor"/>
    </font>
    <font>
      <b/>
      <sz val="11"/>
      <color theme="0"/>
      <name val="华文细黑"/>
      <family val="3"/>
      <charset val="134"/>
    </font>
    <font>
      <sz val="9"/>
      <name val="宋体"/>
      <family val="2"/>
      <charset val="134"/>
      <scheme val="minor"/>
    </font>
    <font>
      <b/>
      <sz val="18"/>
      <color theme="0"/>
      <name val="华文细黑"/>
      <family val="3"/>
      <charset val="134"/>
    </font>
    <font>
      <sz val="11"/>
      <color rgb="FFFF0000"/>
      <name val="宋体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39994506668294322"/>
        <bgColor indexed="64"/>
      </patternFill>
    </fill>
    <fill>
      <patternFill patternType="solid">
        <fgColor theme="3" tint="0.3999450666829432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3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0" fillId="2" borderId="4" xfId="0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 applyProtection="1">
      <alignment vertical="center"/>
    </xf>
    <xf numFmtId="0" fontId="5" fillId="3" borderId="4" xfId="1" applyFont="1" applyFill="1" applyBorder="1" applyAlignment="1" applyProtection="1">
      <alignment vertical="center"/>
    </xf>
    <xf numFmtId="0" fontId="5" fillId="3" borderId="4" xfId="0" applyFont="1" applyFill="1" applyBorder="1" applyAlignment="1" applyProtection="1">
      <alignment horizontal="left" vertical="center"/>
      <protection locked="0"/>
    </xf>
    <xf numFmtId="0" fontId="5" fillId="3" borderId="4" xfId="0" applyFont="1" applyFill="1" applyBorder="1" applyAlignment="1" applyProtection="1">
      <alignment horizontal="left" vertical="center"/>
    </xf>
    <xf numFmtId="0" fontId="7" fillId="4" borderId="4" xfId="0" applyFont="1" applyFill="1" applyBorder="1" applyAlignment="1" applyProtection="1">
      <alignment vertical="center"/>
    </xf>
    <xf numFmtId="2" fontId="7" fillId="4" borderId="4" xfId="0" applyNumberFormat="1" applyFont="1" applyFill="1" applyBorder="1" applyAlignment="1" applyProtection="1">
      <alignment horizontal="left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5" fillId="5" borderId="4" xfId="0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vertical="center"/>
    </xf>
    <xf numFmtId="0" fontId="0" fillId="2" borderId="4" xfId="0" applyFill="1" applyBorder="1" applyAlignment="1">
      <alignment horizontal="left" vertical="center" wrapText="1"/>
    </xf>
    <xf numFmtId="0" fontId="5" fillId="3" borderId="1" xfId="0" applyFont="1" applyFill="1" applyBorder="1" applyAlignment="1" applyProtection="1">
      <alignment horizontal="left" vertical="center"/>
    </xf>
    <xf numFmtId="0" fontId="5" fillId="3" borderId="3" xfId="0" applyFont="1" applyFill="1" applyBorder="1" applyAlignment="1" applyProtection="1">
      <alignment horizontal="left" vertical="center"/>
    </xf>
    <xf numFmtId="0" fontId="5" fillId="4" borderId="1" xfId="0" applyFont="1" applyFill="1" applyBorder="1" applyAlignment="1" applyProtection="1">
      <alignment vertical="center"/>
    </xf>
    <xf numFmtId="0" fontId="0" fillId="0" borderId="2" xfId="0" applyBorder="1" applyAlignment="1" applyProtection="1">
      <alignment vertical="center"/>
    </xf>
  </cellXfs>
  <cellStyles count="2">
    <cellStyle name="常规" xfId="0" builtinId="0"/>
    <cellStyle name="常规 2" xfId="1"/>
  </cellStyles>
  <dxfs count="1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2"/>
      </font>
      <fill>
        <patternFill patternType="solid">
          <fgColor auto="1"/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2"/>
      </font>
      <fill>
        <patternFill patternType="solid">
          <fgColor auto="1"/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tabSelected="1" workbookViewId="0">
      <selection activeCell="B43" sqref="B43"/>
    </sheetView>
  </sheetViews>
  <sheetFormatPr defaultRowHeight="13.5" x14ac:dyDescent="0.15"/>
  <cols>
    <col min="2" max="2" width="9.5" bestFit="1" customWidth="1"/>
    <col min="3" max="3" width="70.25" customWidth="1"/>
  </cols>
  <sheetData>
    <row r="1" spans="1:4" x14ac:dyDescent="0.15">
      <c r="A1" s="13" t="s">
        <v>28</v>
      </c>
      <c r="B1" s="13"/>
      <c r="C1" s="13"/>
    </row>
    <row r="2" spans="1:4" x14ac:dyDescent="0.15">
      <c r="A2" s="1" t="s">
        <v>29</v>
      </c>
      <c r="B2" s="1" t="s">
        <v>30</v>
      </c>
      <c r="C2" s="1" t="s">
        <v>31</v>
      </c>
    </row>
    <row r="3" spans="1:4" ht="16.5" customHeight="1" x14ac:dyDescent="0.15">
      <c r="A3" s="2" t="s">
        <v>0</v>
      </c>
      <c r="B3" s="2">
        <v>20190513</v>
      </c>
      <c r="C3" s="2" t="s">
        <v>32</v>
      </c>
      <c r="D3" t="s">
        <v>24</v>
      </c>
    </row>
    <row r="4" spans="1:4" x14ac:dyDescent="0.15">
      <c r="A4" s="2" t="s">
        <v>44</v>
      </c>
      <c r="B4" s="2">
        <v>20190515</v>
      </c>
      <c r="C4" s="2" t="s">
        <v>45</v>
      </c>
    </row>
    <row r="5" spans="1:4" x14ac:dyDescent="0.15">
      <c r="A5" t="s">
        <v>56</v>
      </c>
      <c r="C5" t="s">
        <v>42</v>
      </c>
    </row>
    <row r="6" spans="1:4" x14ac:dyDescent="0.15">
      <c r="C6" t="s">
        <v>43</v>
      </c>
    </row>
    <row r="7" spans="1:4" x14ac:dyDescent="0.15">
      <c r="C7" t="s">
        <v>51</v>
      </c>
      <c r="D7" t="s">
        <v>27</v>
      </c>
    </row>
    <row r="10" spans="1:4" x14ac:dyDescent="0.15">
      <c r="C10" t="s">
        <v>59</v>
      </c>
    </row>
    <row r="11" spans="1:4" x14ac:dyDescent="0.15">
      <c r="C11" t="s">
        <v>57</v>
      </c>
    </row>
    <row r="14" spans="1:4" x14ac:dyDescent="0.15">
      <c r="C14" t="s">
        <v>60</v>
      </c>
    </row>
    <row r="18" spans="3:3" x14ac:dyDescent="0.15">
      <c r="C18" t="s">
        <v>61</v>
      </c>
    </row>
    <row r="22" spans="3:3" x14ac:dyDescent="0.15">
      <c r="C22" t="s">
        <v>58</v>
      </c>
    </row>
  </sheetData>
  <mergeCells count="1">
    <mergeCell ref="A1:C1"/>
  </mergeCells>
  <phoneticPr fontId="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zoomScaleNormal="100" workbookViewId="0">
      <selection activeCell="E28" sqref="E28"/>
    </sheetView>
  </sheetViews>
  <sheetFormatPr defaultRowHeight="13.5" x14ac:dyDescent="0.15"/>
  <cols>
    <col min="1" max="1" width="40.625" bestFit="1" customWidth="1"/>
    <col min="2" max="2" width="13.125" bestFit="1" customWidth="1"/>
    <col min="4" max="4" width="9" customWidth="1"/>
    <col min="5" max="5" width="20" customWidth="1"/>
    <col min="6" max="8" width="9" hidden="1" customWidth="1"/>
    <col min="9" max="9" width="28.375" hidden="1" customWidth="1"/>
    <col min="10" max="10" width="24.625" hidden="1" customWidth="1"/>
  </cols>
  <sheetData>
    <row r="1" spans="1:10" ht="15.75" x14ac:dyDescent="0.15">
      <c r="A1" s="14" t="s">
        <v>33</v>
      </c>
      <c r="B1" s="15"/>
      <c r="C1" s="9"/>
      <c r="D1" s="9"/>
      <c r="E1" s="9"/>
      <c r="F1" s="9"/>
      <c r="G1" s="9"/>
      <c r="H1" s="9"/>
      <c r="I1" s="9"/>
      <c r="J1" s="9"/>
    </row>
    <row r="2" spans="1:10" ht="15.75" x14ac:dyDescent="0.15">
      <c r="A2" s="4" t="s">
        <v>1</v>
      </c>
      <c r="B2" s="11">
        <v>4096</v>
      </c>
      <c r="C2" s="10" t="str">
        <f>IF(OR(B2&gt;4096/B4,B2&lt;64),LOOKUP(B4,F3:F5,I3:I5),IF(OR(B2&gt;4096/B6,B2&lt;64),LOOKUP(B6,F10:F12,I10:I12),""))</f>
        <v/>
      </c>
      <c r="D2" s="9"/>
      <c r="E2" s="9"/>
      <c r="F2" s="9" t="s">
        <v>12</v>
      </c>
      <c r="G2" s="9" t="s">
        <v>13</v>
      </c>
      <c r="H2" s="9" t="s">
        <v>21</v>
      </c>
      <c r="I2" s="9"/>
      <c r="J2" s="9"/>
    </row>
    <row r="3" spans="1:10" ht="15.75" x14ac:dyDescent="0.15">
      <c r="A3" s="4" t="s">
        <v>18</v>
      </c>
      <c r="B3" s="11">
        <v>3000</v>
      </c>
      <c r="C3" s="10" t="str">
        <f>IF(OR(B3&gt;3000/B5,B3&lt;64),LOOKUP(B5,F3:F5,J3:J5),IF(OR(B3&gt;3000/B7,B3&lt;64),LOOKUP(B7,F10:F12,J10:J12),""))</f>
        <v/>
      </c>
      <c r="D3" s="9"/>
      <c r="E3" s="9"/>
      <c r="F3" s="9">
        <v>1</v>
      </c>
      <c r="G3" s="9">
        <f>8*INT(4096/(8*F3))</f>
        <v>4096</v>
      </c>
      <c r="H3" s="9">
        <f>8*INT(3000/(8*F3))</f>
        <v>3000</v>
      </c>
      <c r="I3" s="9" t="s">
        <v>35</v>
      </c>
      <c r="J3" s="9" t="s">
        <v>37</v>
      </c>
    </row>
    <row r="4" spans="1:10" ht="15.75" x14ac:dyDescent="0.15">
      <c r="A4" s="3" t="s">
        <v>14</v>
      </c>
      <c r="B4" s="5">
        <v>1</v>
      </c>
      <c r="C4" s="12" t="str">
        <f>IF(AND(B4&gt;1,B6&gt;1),"The binning and skipping levels are not set to be greater than 2 at the same time","")</f>
        <v/>
      </c>
      <c r="D4" s="9"/>
      <c r="E4" s="9"/>
      <c r="F4" s="9">
        <v>2</v>
      </c>
      <c r="G4" s="9">
        <f>8*INT(4096/(8*F4))</f>
        <v>2048</v>
      </c>
      <c r="H4" s="9">
        <v>1500</v>
      </c>
      <c r="I4" s="9" t="s">
        <v>36</v>
      </c>
      <c r="J4" s="9" t="s">
        <v>52</v>
      </c>
    </row>
    <row r="5" spans="1:10" ht="15.75" x14ac:dyDescent="0.15">
      <c r="A5" s="3" t="s">
        <v>15</v>
      </c>
      <c r="B5" s="5">
        <v>1</v>
      </c>
      <c r="C5" s="12" t="str">
        <f>IF(AND(B5&gt;1,B7&gt;1),"The vertical binning and skipping are not set to be greater than 2 at the same time","")</f>
        <v/>
      </c>
      <c r="D5" s="9"/>
      <c r="E5" s="9"/>
      <c r="F5" s="9">
        <v>4</v>
      </c>
      <c r="G5" s="9">
        <f>8*INT(4096/(8*F5))</f>
        <v>1024</v>
      </c>
      <c r="H5" s="9">
        <v>750</v>
      </c>
      <c r="I5" s="9" t="s">
        <v>47</v>
      </c>
      <c r="J5" s="9" t="s">
        <v>53</v>
      </c>
    </row>
    <row r="6" spans="1:10" ht="15.75" x14ac:dyDescent="0.15">
      <c r="A6" s="3" t="s">
        <v>23</v>
      </c>
      <c r="B6" s="5">
        <v>1</v>
      </c>
      <c r="C6" s="12" t="str">
        <f>IF(AND(B4&gt;1,B6&gt;1),"The binning and skipping levels are not set to be greater than 2 at the same time","")</f>
        <v/>
      </c>
      <c r="D6" s="9"/>
      <c r="E6" s="9"/>
      <c r="F6" s="9"/>
      <c r="G6" s="9"/>
      <c r="H6" s="9"/>
      <c r="I6" s="9" t="s">
        <v>46</v>
      </c>
      <c r="J6" s="9"/>
    </row>
    <row r="7" spans="1:10" ht="15.75" x14ac:dyDescent="0.15">
      <c r="A7" s="3" t="s">
        <v>26</v>
      </c>
      <c r="B7" s="5">
        <v>1</v>
      </c>
      <c r="C7" s="12" t="str">
        <f>IF(AND(B5&gt;1,B7&gt;1),"The vertical binning and skipping are not set to be greater than 2 at the same time","")</f>
        <v/>
      </c>
      <c r="D7" s="9"/>
      <c r="E7" s="9"/>
      <c r="F7" s="9"/>
      <c r="G7" s="9">
        <f>4096/B4</f>
        <v>4096</v>
      </c>
      <c r="H7" s="9">
        <f>3000/B5</f>
        <v>3000</v>
      </c>
      <c r="I7" s="9"/>
      <c r="J7" s="9"/>
    </row>
    <row r="8" spans="1:10" ht="15.75" x14ac:dyDescent="0.15">
      <c r="A8" s="4" t="s">
        <v>2</v>
      </c>
      <c r="B8" s="5">
        <v>30000</v>
      </c>
      <c r="C8" s="9"/>
      <c r="D8" s="9"/>
      <c r="E8" s="9"/>
      <c r="F8" s="9"/>
      <c r="G8" s="9"/>
      <c r="H8" s="9"/>
      <c r="I8" s="9"/>
      <c r="J8" s="9"/>
    </row>
    <row r="9" spans="1:10" ht="15.75" x14ac:dyDescent="0.15">
      <c r="A9" s="4" t="s">
        <v>3</v>
      </c>
      <c r="B9" s="5">
        <v>8</v>
      </c>
      <c r="C9" s="9"/>
      <c r="D9" s="9"/>
      <c r="E9" s="9"/>
      <c r="F9" s="9" t="s">
        <v>22</v>
      </c>
      <c r="G9" s="9" t="s">
        <v>20</v>
      </c>
      <c r="H9" s="9" t="s">
        <v>21</v>
      </c>
      <c r="I9" s="9"/>
      <c r="J9" s="9"/>
    </row>
    <row r="10" spans="1:10" ht="15.75" x14ac:dyDescent="0.15">
      <c r="A10" s="4" t="s">
        <v>4</v>
      </c>
      <c r="B10" s="5">
        <v>300000000</v>
      </c>
      <c r="C10" s="9"/>
      <c r="D10" s="9"/>
      <c r="E10" s="9"/>
      <c r="F10" s="9">
        <v>1</v>
      </c>
      <c r="G10" s="9">
        <f>16*INT(4096/(16*F10))</f>
        <v>4096</v>
      </c>
      <c r="H10" s="9">
        <f>2*INT(3000/(2*F10))</f>
        <v>3000</v>
      </c>
      <c r="I10" s="9" t="s">
        <v>38</v>
      </c>
      <c r="J10" s="9" t="s">
        <v>40</v>
      </c>
    </row>
    <row r="11" spans="1:10" ht="15.75" x14ac:dyDescent="0.15">
      <c r="A11" s="4" t="s">
        <v>5</v>
      </c>
      <c r="B11" s="5">
        <v>380000000</v>
      </c>
      <c r="C11" s="9"/>
      <c r="D11" s="9"/>
      <c r="E11" s="9"/>
      <c r="F11" s="9">
        <v>2</v>
      </c>
      <c r="G11" s="9">
        <f>16*INT(4096/(16*F11))</f>
        <v>2048</v>
      </c>
      <c r="H11" s="9">
        <f>2*INT(3000/(2*F11))</f>
        <v>1500</v>
      </c>
      <c r="I11" s="9" t="s">
        <v>39</v>
      </c>
      <c r="J11" s="9" t="s">
        <v>41</v>
      </c>
    </row>
    <row r="12" spans="1:10" ht="15.75" hidden="1" x14ac:dyDescent="0.15">
      <c r="A12" s="4" t="s">
        <v>6</v>
      </c>
      <c r="B12" s="5">
        <f>MAX(ROUNDUP((B8-14.26)/B15,0),1)</f>
        <v>3204</v>
      </c>
      <c r="C12" s="9"/>
      <c r="D12" s="9"/>
      <c r="E12" s="9"/>
      <c r="F12" s="9">
        <v>4</v>
      </c>
      <c r="G12" s="9">
        <f>16*INT(4096/(16*F12))</f>
        <v>1024</v>
      </c>
      <c r="H12" s="9">
        <f>2*INT(3000/(2*F12))</f>
        <v>750</v>
      </c>
      <c r="I12" s="9" t="s">
        <v>49</v>
      </c>
      <c r="J12" s="9" t="s">
        <v>48</v>
      </c>
    </row>
    <row r="13" spans="1:10" ht="15.75" hidden="1" x14ac:dyDescent="0.15">
      <c r="A13" s="4" t="s">
        <v>7</v>
      </c>
      <c r="B13" s="5" t="str">
        <f>IF((B9&lt;=8),"1","2")</f>
        <v>1</v>
      </c>
      <c r="C13" s="9"/>
      <c r="D13" s="9"/>
      <c r="E13" s="9"/>
      <c r="F13" s="9"/>
      <c r="G13" s="9"/>
      <c r="H13" s="9"/>
      <c r="I13" s="9" t="s">
        <v>46</v>
      </c>
      <c r="J13" s="9"/>
    </row>
    <row r="14" spans="1:10" ht="15.75" hidden="1" x14ac:dyDescent="0.15">
      <c r="A14" s="4" t="s">
        <v>19</v>
      </c>
      <c r="B14" s="5">
        <f>B2*B3*B13+84</f>
        <v>12288084</v>
      </c>
      <c r="C14" s="9"/>
      <c r="D14" s="9"/>
      <c r="E14" s="9"/>
      <c r="F14" s="9"/>
      <c r="G14" s="9">
        <f>4096/B6</f>
        <v>4096</v>
      </c>
      <c r="H14" s="9">
        <f>3000/B7</f>
        <v>3000</v>
      </c>
      <c r="I14" s="9"/>
      <c r="J14" s="9"/>
    </row>
    <row r="15" spans="1:10" ht="15.75" hidden="1" x14ac:dyDescent="0.15">
      <c r="A15" s="4" t="s">
        <v>25</v>
      </c>
      <c r="B15" s="5">
        <f>IF(B9=8,351/37.5,702/37.5)</f>
        <v>9.36</v>
      </c>
      <c r="C15" s="9"/>
      <c r="D15" s="9"/>
      <c r="E15" s="9"/>
      <c r="F15" s="9"/>
      <c r="G15" s="9"/>
      <c r="H15" s="9"/>
      <c r="I15" s="9"/>
      <c r="J15" s="9"/>
    </row>
    <row r="16" spans="1:10" ht="15.75" hidden="1" x14ac:dyDescent="0.15">
      <c r="A16" s="4" t="s">
        <v>8</v>
      </c>
      <c r="B16" s="5">
        <f>(B3*B5*B7+95)*B15</f>
        <v>28969.199999999997</v>
      </c>
      <c r="C16" s="9"/>
      <c r="D16" s="9"/>
      <c r="E16" s="9"/>
      <c r="F16" s="9"/>
      <c r="G16" s="9"/>
      <c r="H16" s="9"/>
      <c r="I16" s="9"/>
      <c r="J16" s="9"/>
    </row>
    <row r="17" spans="1:10" ht="15.75" x14ac:dyDescent="0.15">
      <c r="A17" s="4" t="s">
        <v>9</v>
      </c>
      <c r="B17" s="5" t="s">
        <v>10</v>
      </c>
      <c r="C17" s="9"/>
      <c r="D17" s="9"/>
      <c r="E17" s="9"/>
      <c r="F17" s="9"/>
      <c r="G17" s="9"/>
      <c r="H17" s="9"/>
      <c r="I17" s="9"/>
      <c r="J17" s="9"/>
    </row>
    <row r="18" spans="1:10" ht="15.75" x14ac:dyDescent="0.15">
      <c r="A18" s="4" t="s">
        <v>11</v>
      </c>
      <c r="B18" s="5">
        <v>32.1</v>
      </c>
      <c r="C18" s="9"/>
      <c r="D18" s="9"/>
      <c r="E18" s="9"/>
      <c r="F18" s="9"/>
      <c r="G18" s="9"/>
      <c r="H18" s="9"/>
      <c r="I18" s="9"/>
      <c r="J18" s="9"/>
    </row>
    <row r="19" spans="1:10" ht="15.75" hidden="1" x14ac:dyDescent="0.15">
      <c r="A19" s="3" t="s">
        <v>16</v>
      </c>
      <c r="B19" s="6">
        <f>MAX(B14*1000000/B11,ROUNDUP(ROUNDUP(B14*1000000/B10/B15,0)*B15,0),(B12+24)*B15,B16,ROUNDUP(B15*(IF(B17="off",0,1))*ROUNDUP(1000*1000/(B15*B18),0),0))</f>
        <v>40969</v>
      </c>
      <c r="C19" s="10" t="str">
        <f>IF(OR(B3&gt;3000/B5,B3&lt;64,B2&gt;4096/B4,B2&lt;64),I6,"")</f>
        <v/>
      </c>
      <c r="D19" s="9"/>
      <c r="E19" s="9"/>
      <c r="F19" s="9"/>
      <c r="G19" s="9"/>
      <c r="H19" s="9"/>
      <c r="I19" s="9"/>
      <c r="J19" s="9"/>
    </row>
    <row r="20" spans="1:10" ht="15.75" x14ac:dyDescent="0.15">
      <c r="A20" s="16" t="s">
        <v>34</v>
      </c>
      <c r="B20" s="17"/>
    </row>
    <row r="21" spans="1:10" ht="27" x14ac:dyDescent="0.15">
      <c r="A21" s="7" t="s">
        <v>17</v>
      </c>
      <c r="B21" s="8">
        <f>1000000/B19</f>
        <v>24.408699260416412</v>
      </c>
    </row>
  </sheetData>
  <sheetProtection algorithmName="SHA-512" hashValue="x9tcl8XUbXTxpoYPZ9CqY9SYFRhmKQfpd/emTHrtnM9VOSytUrB2mZ8hPzQyZCX5sHahccpHVQYu2E4fJk5t/Q==" saltValue="fy5a+Es54Povx2uIACGJfg==" spinCount="100000" sheet="1" objects="1" scenarios="1"/>
  <mergeCells count="2">
    <mergeCell ref="A1:B1"/>
    <mergeCell ref="A20:B20"/>
  </mergeCells>
  <phoneticPr fontId="4" type="noConversion"/>
  <conditionalFormatting sqref="B2">
    <cfRule type="cellIs" dxfId="15" priority="6" operator="notBetween">
      <formula>64</formula>
      <formula>$G$14</formula>
    </cfRule>
    <cfRule type="cellIs" dxfId="14" priority="9" operator="notBetween">
      <formula>64</formula>
      <formula>$G$7</formula>
    </cfRule>
  </conditionalFormatting>
  <conditionalFormatting sqref="B3">
    <cfRule type="cellIs" dxfId="13" priority="5" operator="notBetween">
      <formula>64</formula>
      <formula>$H$7</formula>
    </cfRule>
    <cfRule type="cellIs" dxfId="12" priority="7" operator="notBetween">
      <formula>64</formula>
      <formula>$H$14</formula>
    </cfRule>
  </conditionalFormatting>
  <conditionalFormatting sqref="B4">
    <cfRule type="expression" dxfId="11" priority="4">
      <formula>AND(B6&gt;1,B4&gt;1)</formula>
    </cfRule>
  </conditionalFormatting>
  <conditionalFormatting sqref="B6">
    <cfRule type="expression" dxfId="10" priority="3">
      <formula>AND(B6&gt;1,B4&gt;1)</formula>
    </cfRule>
  </conditionalFormatting>
  <conditionalFormatting sqref="B5">
    <cfRule type="expression" dxfId="9" priority="2">
      <formula>AND(B5&gt;1,B7&gt;1)</formula>
    </cfRule>
  </conditionalFormatting>
  <conditionalFormatting sqref="B7">
    <cfRule type="expression" dxfId="8" priority="1">
      <formula>AND(B5&gt;1,B7&gt;1)</formula>
    </cfRule>
  </conditionalFormatting>
  <dataValidations count="10">
    <dataValidation type="custom" allowBlank="1" showInputMessage="1" showErrorMessage="1" errorTitle="Input parameter error" error="Input range from 0.1 to 10000,step 0.1" sqref="B18">
      <formula1>AND(MOD(10*B18,1)=0,B18&gt;=0.1,B18&lt;=10000)</formula1>
    </dataValidation>
    <dataValidation type="list" allowBlank="1" showInputMessage="1" showErrorMessage="1" errorTitle="Input parameter error" error="Input on or off" sqref="B17">
      <formula1>"on,off"</formula1>
    </dataValidation>
    <dataValidation type="custom" allowBlank="1" showInputMessage="1" showErrorMessage="1" errorTitle="Input parameter error" error="8bit mode range from 35000000 to 400000000,step 1000000;_x000a_10bit mode range from 70000000 to 400000000,step 1000000" sqref="B10">
      <formula1>OR(AND(B9=8,B10&gt;=35000000,B10&lt;=400000000,MOD(B10,1000000)=0),AND(B9=10,B10&gt;=70000000,B10&lt;=400000000,MOD(B10,1000000)=0))</formula1>
    </dataValidation>
    <dataValidation type="whole" allowBlank="1" showInputMessage="1" showErrorMessage="1" errorTitle="Input parameter error" error="Input range is 24-15000000" sqref="B8">
      <formula1>24</formula1>
      <formula2>15000000</formula2>
    </dataValidation>
    <dataValidation type="custom" allowBlank="1" showInputMessage="1" showErrorMessage="1" errorTitle="Input parameter error" error="Input parameter error" sqref="B3">
      <formula1>AND(MOD(B3,2)=0,B3&gt;=64,B3&lt;=3000/B5)</formula1>
    </dataValidation>
    <dataValidation type="custom" allowBlank="1" showInputMessage="1" showErrorMessage="1" errorTitle="Input parameter error" error="Input parameter error" sqref="B2">
      <formula1>AND(MOD(B2,8)=0,B2&gt;=64,B2&lt;=4096/B4)</formula1>
    </dataValidation>
    <dataValidation type="list" allowBlank="1" showInputMessage="1" showErrorMessage="1" errorTitle="Input parameter error" error="Input 8 or 10" sqref="B9">
      <formula1>"8,10"</formula1>
    </dataValidation>
    <dataValidation type="list" allowBlank="1" showInputMessage="1" showErrorMessage="1" errorTitle="Input parameter error" error="Input range is 1,2,4" sqref="B7">
      <formula1>"1,2,4"</formula1>
    </dataValidation>
    <dataValidation type="list" allowBlank="1" showInputMessage="1" showErrorMessage="1" errorTitle="Input parameter error" error="Input range is 1,2,4" sqref="B4 B5">
      <formula1>"1,2,4"</formula1>
    </dataValidation>
    <dataValidation type="list" allowBlank="1" showInputMessage="1" showErrorMessage="1" errorTitle="Input parameter error" error="Input range is 1,2,4" sqref="B6">
      <formula1>"1,2,4"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zoomScaleNormal="100" workbookViewId="0">
      <selection activeCell="A25" sqref="A25"/>
    </sheetView>
  </sheetViews>
  <sheetFormatPr defaultRowHeight="13.5" x14ac:dyDescent="0.15"/>
  <cols>
    <col min="1" max="1" width="40.625" bestFit="1" customWidth="1"/>
    <col min="2" max="2" width="13.125" bestFit="1" customWidth="1"/>
    <col min="6" max="8" width="9" hidden="1" customWidth="1"/>
    <col min="9" max="9" width="11.25" hidden="1" customWidth="1"/>
    <col min="10" max="10" width="9" hidden="1" customWidth="1"/>
  </cols>
  <sheetData>
    <row r="1" spans="1:10" ht="15.75" x14ac:dyDescent="0.15">
      <c r="A1" s="14" t="s">
        <v>33</v>
      </c>
      <c r="B1" s="15"/>
      <c r="C1" s="9"/>
      <c r="D1" s="9"/>
      <c r="E1" s="9"/>
      <c r="F1" s="9"/>
      <c r="G1" s="9"/>
      <c r="H1" s="9"/>
      <c r="I1" s="9"/>
      <c r="J1" s="9"/>
    </row>
    <row r="2" spans="1:10" ht="15.75" x14ac:dyDescent="0.15">
      <c r="A2" s="4" t="s">
        <v>1</v>
      </c>
      <c r="B2" s="11">
        <v>4096</v>
      </c>
      <c r="C2" s="10" t="str">
        <f>IF(OR(B2&gt;4096/B4,B2&lt;64),LOOKUP(B4,F3:F5,I3:I5),IF(OR(B2&gt;4096/B6,B2&lt;64),LOOKUP(B6,F10:F12,I10:I12),""))</f>
        <v/>
      </c>
      <c r="D2" s="9"/>
      <c r="E2" s="9"/>
      <c r="F2" s="9" t="s">
        <v>12</v>
      </c>
      <c r="G2" s="9" t="s">
        <v>13</v>
      </c>
      <c r="H2" s="9" t="s">
        <v>21</v>
      </c>
      <c r="I2" s="9"/>
      <c r="J2" s="9"/>
    </row>
    <row r="3" spans="1:10" ht="15.75" x14ac:dyDescent="0.15">
      <c r="A3" s="4" t="s">
        <v>18</v>
      </c>
      <c r="B3" s="11">
        <v>3000</v>
      </c>
      <c r="C3" s="10" t="str">
        <f>IF(OR(B3&gt;3000/B5,B3&lt;64),LOOKUP(B5,F3:F5,J3:J5),IF(OR(B3&gt;3000/B7,B3&lt;64),LOOKUP(B7,F10:F12,J10:J12),""))</f>
        <v/>
      </c>
      <c r="D3" s="9"/>
      <c r="E3" s="9"/>
      <c r="F3" s="9">
        <v>1</v>
      </c>
      <c r="G3" s="9">
        <f>8*INT(4096/(8*F3))</f>
        <v>4096</v>
      </c>
      <c r="H3" s="9">
        <f>8*INT(3000/(8*F3))</f>
        <v>3000</v>
      </c>
      <c r="I3" s="9" t="s">
        <v>35</v>
      </c>
      <c r="J3" s="9" t="s">
        <v>37</v>
      </c>
    </row>
    <row r="4" spans="1:10" ht="15.75" x14ac:dyDescent="0.15">
      <c r="A4" s="3" t="s">
        <v>14</v>
      </c>
      <c r="B4" s="5">
        <v>1</v>
      </c>
      <c r="C4" s="12" t="str">
        <f>IF(AND(B4&gt;1,B6&gt;1),"The binning and skipping levels are not set to be greater than 2 at the same time","")</f>
        <v/>
      </c>
      <c r="D4" s="9"/>
      <c r="E4" s="9"/>
      <c r="F4" s="9">
        <v>2</v>
      </c>
      <c r="G4" s="9">
        <f>8*INT(4096/(8*F4))</f>
        <v>2048</v>
      </c>
      <c r="H4" s="9">
        <v>1500</v>
      </c>
      <c r="I4" s="9" t="s">
        <v>36</v>
      </c>
      <c r="J4" s="9" t="s">
        <v>52</v>
      </c>
    </row>
    <row r="5" spans="1:10" ht="15.75" x14ac:dyDescent="0.15">
      <c r="A5" s="3" t="s">
        <v>15</v>
      </c>
      <c r="B5" s="5">
        <v>1</v>
      </c>
      <c r="C5" s="12" t="str">
        <f>IF(AND(B5&gt;1,B7&gt;1),"The vertical binning and skipping are not set to be greater than 2 at the same time","")</f>
        <v/>
      </c>
      <c r="D5" s="9"/>
      <c r="E5" s="9"/>
      <c r="F5" s="9">
        <v>4</v>
      </c>
      <c r="G5" s="9">
        <f>8*INT(4096/(8*F5))</f>
        <v>1024</v>
      </c>
      <c r="H5" s="9">
        <v>750</v>
      </c>
      <c r="I5" s="9" t="s">
        <v>47</v>
      </c>
      <c r="J5" s="9" t="s">
        <v>54</v>
      </c>
    </row>
    <row r="6" spans="1:10" ht="15.75" x14ac:dyDescent="0.15">
      <c r="A6" s="3" t="s">
        <v>23</v>
      </c>
      <c r="B6" s="5">
        <v>1</v>
      </c>
      <c r="C6" s="12" t="str">
        <f>IF(AND(B4&gt;1,B6&gt;1),"The binning and skipping levels are not set to be greater than 2 at the same time","")</f>
        <v/>
      </c>
      <c r="D6" s="9"/>
      <c r="E6" s="9"/>
      <c r="F6" s="9"/>
      <c r="G6" s="9"/>
      <c r="H6" s="9"/>
      <c r="I6" s="9" t="s">
        <v>46</v>
      </c>
      <c r="J6" s="9"/>
    </row>
    <row r="7" spans="1:10" ht="15.75" x14ac:dyDescent="0.15">
      <c r="A7" s="3" t="s">
        <v>26</v>
      </c>
      <c r="B7" s="5">
        <v>1</v>
      </c>
      <c r="C7" s="12" t="str">
        <f>IF(AND(B5&gt;1,B7&gt;1),"The vertical binning and skipping are not set to be greater than 2 at the same time","")</f>
        <v/>
      </c>
      <c r="D7" s="9"/>
      <c r="E7" s="9"/>
      <c r="F7" s="9"/>
      <c r="G7" s="9">
        <f>4096/B4</f>
        <v>4096</v>
      </c>
      <c r="H7" s="9">
        <f>3000/B5</f>
        <v>3000</v>
      </c>
      <c r="I7" s="9"/>
      <c r="J7" s="9"/>
    </row>
    <row r="8" spans="1:10" ht="15.75" x14ac:dyDescent="0.15">
      <c r="A8" s="4" t="s">
        <v>2</v>
      </c>
      <c r="B8" s="5">
        <v>40000</v>
      </c>
      <c r="C8" s="9"/>
      <c r="D8" s="9"/>
      <c r="E8" s="9"/>
      <c r="F8" s="9"/>
      <c r="G8" s="9"/>
      <c r="H8" s="9"/>
      <c r="I8" s="9"/>
      <c r="J8" s="9"/>
    </row>
    <row r="9" spans="1:10" ht="15.75" x14ac:dyDescent="0.15">
      <c r="A9" s="4" t="s">
        <v>50</v>
      </c>
      <c r="B9" s="5">
        <v>8</v>
      </c>
      <c r="C9" s="9"/>
      <c r="D9" s="9"/>
      <c r="E9" s="9"/>
      <c r="F9" s="9" t="s">
        <v>22</v>
      </c>
      <c r="G9" s="9" t="s">
        <v>20</v>
      </c>
      <c r="H9" s="9" t="s">
        <v>21</v>
      </c>
      <c r="I9" s="9"/>
      <c r="J9" s="9"/>
    </row>
    <row r="10" spans="1:10" ht="15.75" x14ac:dyDescent="0.15">
      <c r="A10" s="4" t="s">
        <v>4</v>
      </c>
      <c r="B10" s="5">
        <v>300000000</v>
      </c>
      <c r="C10" s="9"/>
      <c r="D10" s="9"/>
      <c r="E10" s="9"/>
      <c r="F10" s="9">
        <v>1</v>
      </c>
      <c r="G10" s="9">
        <f>16*INT(4096/(16*F10))</f>
        <v>4096</v>
      </c>
      <c r="H10" s="9">
        <f>2*INT(3000/(2*F10))</f>
        <v>3000</v>
      </c>
      <c r="I10" s="9" t="s">
        <v>38</v>
      </c>
      <c r="J10" s="9" t="s">
        <v>40</v>
      </c>
    </row>
    <row r="11" spans="1:10" ht="15.75" x14ac:dyDescent="0.15">
      <c r="A11" s="4" t="s">
        <v>55</v>
      </c>
      <c r="B11" s="5">
        <v>380000000</v>
      </c>
      <c r="C11" s="9"/>
      <c r="D11" s="9"/>
      <c r="E11" s="9"/>
      <c r="F11" s="9">
        <v>2</v>
      </c>
      <c r="G11" s="9">
        <f>16*INT(4096/(16*F11))</f>
        <v>2048</v>
      </c>
      <c r="H11" s="9">
        <f>2*INT(3000/(2*F11))</f>
        <v>1500</v>
      </c>
      <c r="I11" s="9" t="s">
        <v>39</v>
      </c>
      <c r="J11" s="9" t="s">
        <v>41</v>
      </c>
    </row>
    <row r="12" spans="1:10" ht="15.75" hidden="1" x14ac:dyDescent="0.15">
      <c r="A12" s="4" t="s">
        <v>6</v>
      </c>
      <c r="B12" s="5">
        <f>MAX(ROUNDUP((B8-14.26)/B15,0),1)</f>
        <v>2873</v>
      </c>
      <c r="C12" s="9"/>
      <c r="D12" s="9"/>
      <c r="E12" s="9"/>
      <c r="F12" s="9">
        <v>4</v>
      </c>
      <c r="G12" s="9">
        <f>16*INT(4096/(16*F12))</f>
        <v>1024</v>
      </c>
      <c r="H12" s="9">
        <f>2*INT(3000/(2*F12))</f>
        <v>750</v>
      </c>
      <c r="I12" s="9" t="s">
        <v>49</v>
      </c>
      <c r="J12" s="9" t="s">
        <v>48</v>
      </c>
    </row>
    <row r="13" spans="1:10" ht="15.75" hidden="1" x14ac:dyDescent="0.15">
      <c r="A13" s="4" t="s">
        <v>7</v>
      </c>
      <c r="B13" s="5" t="str">
        <f>IF((B9&lt;=8),"1","2")</f>
        <v>1</v>
      </c>
      <c r="C13" s="9"/>
      <c r="D13" s="9"/>
      <c r="E13" s="9"/>
      <c r="F13" s="9"/>
      <c r="G13" s="9"/>
      <c r="H13" s="9"/>
      <c r="I13" s="9" t="s">
        <v>46</v>
      </c>
      <c r="J13" s="9"/>
    </row>
    <row r="14" spans="1:10" ht="15.75" hidden="1" x14ac:dyDescent="0.15">
      <c r="A14" s="4" t="s">
        <v>19</v>
      </c>
      <c r="B14" s="5">
        <f>B2*B3*B13+84</f>
        <v>12288084</v>
      </c>
      <c r="C14" s="9"/>
      <c r="D14" s="9"/>
      <c r="E14" s="9"/>
      <c r="F14" s="9"/>
      <c r="G14" s="9">
        <f>4096/B6</f>
        <v>4096</v>
      </c>
      <c r="H14" s="9">
        <f>3000/B7</f>
        <v>3000</v>
      </c>
      <c r="I14" s="9"/>
      <c r="J14" s="9"/>
    </row>
    <row r="15" spans="1:10" ht="15.75" hidden="1" x14ac:dyDescent="0.15">
      <c r="A15" s="4" t="s">
        <v>25</v>
      </c>
      <c r="B15" s="5">
        <f>IF(B9=8,522/37.5,1044/37.5)</f>
        <v>13.92</v>
      </c>
      <c r="C15" s="9"/>
      <c r="D15" s="9"/>
      <c r="E15" s="9"/>
      <c r="F15" s="9"/>
      <c r="G15" s="9"/>
      <c r="H15" s="9"/>
      <c r="I15" s="9"/>
      <c r="J15" s="9"/>
    </row>
    <row r="16" spans="1:10" ht="15.75" hidden="1" x14ac:dyDescent="0.15">
      <c r="A16" s="4" t="s">
        <v>8</v>
      </c>
      <c r="B16" s="5">
        <f>(B3*B5*B7+55)*B15</f>
        <v>42525.599999999999</v>
      </c>
      <c r="C16" s="9"/>
      <c r="D16" s="9"/>
      <c r="E16" s="9"/>
      <c r="F16" s="9"/>
      <c r="G16" s="9"/>
      <c r="H16" s="9"/>
      <c r="I16" s="9"/>
      <c r="J16" s="9"/>
    </row>
    <row r="17" spans="1:10" ht="15.75" x14ac:dyDescent="0.15">
      <c r="A17" s="4" t="s">
        <v>9</v>
      </c>
      <c r="B17" s="5" t="s">
        <v>10</v>
      </c>
      <c r="C17" s="9"/>
      <c r="D17" s="9"/>
      <c r="E17" s="9"/>
      <c r="F17" s="9"/>
      <c r="G17" s="9"/>
      <c r="H17" s="9"/>
      <c r="I17" s="9"/>
      <c r="J17" s="9"/>
    </row>
    <row r="18" spans="1:10" ht="15.75" x14ac:dyDescent="0.15">
      <c r="A18" s="4" t="s">
        <v>11</v>
      </c>
      <c r="B18" s="5">
        <v>23.5</v>
      </c>
      <c r="C18" s="9"/>
      <c r="D18" s="9"/>
      <c r="E18" s="9"/>
      <c r="F18" s="9"/>
      <c r="G18" s="9"/>
      <c r="H18" s="9"/>
      <c r="I18" s="9"/>
      <c r="J18" s="9"/>
    </row>
    <row r="19" spans="1:10" ht="15.75" hidden="1" x14ac:dyDescent="0.15">
      <c r="A19" s="3" t="s">
        <v>16</v>
      </c>
      <c r="B19" s="6">
        <f>MAX(B14*1000000/B11,ROUNDUP(ROUNDUP(B14*1000000/B10/B15,0)*B15,0),(B12+12)*B15,B16,ROUNDUP(B15*(IF(B17="off",0,1))*ROUNDUP(1000*1000/(B15*B18),0),0))</f>
        <v>42525.599999999999</v>
      </c>
      <c r="C19" s="10" t="str">
        <f>IF(OR(B3&gt;3000/B5,B3&lt;64,B2&gt;4096/B4,B2&lt;64),I6,"")</f>
        <v/>
      </c>
      <c r="D19" s="9"/>
      <c r="E19" s="9"/>
      <c r="F19" s="9"/>
      <c r="G19" s="9"/>
      <c r="H19" s="9"/>
      <c r="I19" s="9"/>
      <c r="J19" s="9"/>
    </row>
    <row r="20" spans="1:10" ht="15.75" x14ac:dyDescent="0.15">
      <c r="A20" s="16" t="s">
        <v>34</v>
      </c>
      <c r="B20" s="17"/>
    </row>
    <row r="21" spans="1:10" ht="27" x14ac:dyDescent="0.15">
      <c r="A21" s="7" t="s">
        <v>17</v>
      </c>
      <c r="B21" s="8">
        <f>1000000/B19</f>
        <v>23.515247286340465</v>
      </c>
    </row>
  </sheetData>
  <sheetProtection algorithmName="SHA-512" hashValue="FnaAIa8v2X0ZjQRE5+qRR1ANnsbHVQz1d5MVQqZc3AACJQPhqG8OmgPD6vMFiEQ2aq26ZCXVKXmVu2/bBSAuxQ==" saltValue="DPh65/rpJY2DzfpkiTHtZQ==" spinCount="100000" sheet="1" objects="1" scenarios="1"/>
  <mergeCells count="2">
    <mergeCell ref="A1:B1"/>
    <mergeCell ref="A20:B20"/>
  </mergeCells>
  <phoneticPr fontId="4" type="noConversion"/>
  <conditionalFormatting sqref="B2">
    <cfRule type="cellIs" dxfId="7" priority="6" operator="notBetween">
      <formula>64</formula>
      <formula>$G$14</formula>
    </cfRule>
    <cfRule type="cellIs" dxfId="6" priority="8" operator="notBetween">
      <formula>64</formula>
      <formula>$G$7</formula>
    </cfRule>
  </conditionalFormatting>
  <conditionalFormatting sqref="B3">
    <cfRule type="cellIs" dxfId="5" priority="5" operator="notBetween">
      <formula>64</formula>
      <formula>$H$7</formula>
    </cfRule>
    <cfRule type="cellIs" dxfId="4" priority="7" operator="notBetween">
      <formula>64</formula>
      <formula>$H$14</formula>
    </cfRule>
  </conditionalFormatting>
  <conditionalFormatting sqref="B4">
    <cfRule type="expression" dxfId="3" priority="4">
      <formula>AND(B6&gt;1,B4&gt;1)</formula>
    </cfRule>
  </conditionalFormatting>
  <conditionalFormatting sqref="B6">
    <cfRule type="expression" dxfId="2" priority="3">
      <formula>AND(B6&gt;1,B4&gt;1)</formula>
    </cfRule>
  </conditionalFormatting>
  <conditionalFormatting sqref="B5">
    <cfRule type="expression" dxfId="1" priority="2">
      <formula>AND(B5&gt;1,B7&gt;1)</formula>
    </cfRule>
  </conditionalFormatting>
  <conditionalFormatting sqref="B7">
    <cfRule type="expression" dxfId="0" priority="1">
      <formula>AND(B5&gt;1,B7&gt;1)</formula>
    </cfRule>
  </conditionalFormatting>
  <dataValidations count="8">
    <dataValidation type="list" allowBlank="1" showInputMessage="1" showErrorMessage="1" errorTitle="Input parameter error" error="Input range is 1,2,4" sqref="B4:B7">
      <formula1>"1,2,4"</formula1>
    </dataValidation>
    <dataValidation type="list" allowBlank="1" showInputMessage="1" showErrorMessage="1" errorTitle="Input parameter error" error="Input 8 or 12" sqref="B9">
      <formula1>"8,12"</formula1>
    </dataValidation>
    <dataValidation type="custom" allowBlank="1" showInputMessage="1" showErrorMessage="1" errorTitle="Input parameter error" error="Input parameter error" sqref="B2">
      <formula1>AND(MOD(B2,8)=0,B2&gt;=64,B2&lt;=4096/B4)</formula1>
    </dataValidation>
    <dataValidation type="custom" allowBlank="1" showInputMessage="1" showErrorMessage="1" errorTitle="Input parameter error" error="Input parameter error" sqref="B3">
      <formula1>AND(MOD(B3,2)=0,B3&gt;=64,B3&lt;=3000/B5)</formula1>
    </dataValidation>
    <dataValidation type="whole" allowBlank="1" showInputMessage="1" showErrorMessage="1" errorTitle="Input parameter error" error="Input range is 28-15000000" sqref="B8">
      <formula1>28</formula1>
      <formula2>15000000</formula2>
    </dataValidation>
    <dataValidation type="custom" allowBlank="1" showInputMessage="1" showErrorMessage="1" errorTitle="Input parameter error" error="8bit mode range from 35000000 to 400000000,step 1000000;_x000a_12bit mode range from 70000000 to 400000000,step 1000000" sqref="B10">
      <formula1>OR(AND(B9=8,B10&gt;=35000000,B10&lt;=400000000,MOD(B10,1000000)=0),AND(B9=12,B10&gt;=70000000,B10&lt;=400000000,MOD(B10,1000000)=0))</formula1>
    </dataValidation>
    <dataValidation type="list" allowBlank="1" showInputMessage="1" showErrorMessage="1" errorTitle="Input parameter error" error="Input on or off" sqref="B17">
      <formula1>"on,off"</formula1>
    </dataValidation>
    <dataValidation type="custom" allowBlank="1" showInputMessage="1" showErrorMessage="1" errorTitle="Input parameter error" error="Input range from 0.1 to 10000,step 0.1" sqref="B18">
      <formula1>AND(MOD(10*B18,1)=0,B18&gt;=0.1,B18&lt;=10000)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8B1D4FD92196841803EE860CCD88BE3" ma:contentTypeVersion="19" ma:contentTypeDescription="Create a new document." ma:contentTypeScope="" ma:versionID="dbbd2ee9c94f3209ede74140058f6039">
  <xsd:schema xmlns:xsd="http://www.w3.org/2001/XMLSchema" xmlns:xs="http://www.w3.org/2001/XMLSchema" xmlns:p="http://schemas.microsoft.com/office/2006/metadata/properties" xmlns:ns2="8e9a8bac-6399-41e0-ae29-be0bac219712" xmlns:ns3="0e2bac63-7935-4451-9bf4-ebd134ce4d3a" targetNamespace="http://schemas.microsoft.com/office/2006/metadata/properties" ma:root="true" ma:fieldsID="abba910608cab6dea4bfcf1650324a8f" ns2:_="" ns3:_="">
    <xsd:import namespace="8e9a8bac-6399-41e0-ae29-be0bac219712"/>
    <xsd:import namespace="0e2bac63-7935-4451-9bf4-ebd134ce4d3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TaxCatchAll" minOccurs="0"/>
                <xsd:element ref="ns2:lcf76f155ced4ddcb4097134ff3c332f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9a8bac-6399-41e0-ae29-be0bac21971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858a10be-0e10-4ce7-b105-4832767749d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2bac63-7935-4451-9bf4-ebd134ce4d3a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2de76510-9397-41dc-9934-fa59ec3e18be}" ma:internalName="TaxCatchAll" ma:showField="CatchAllData" ma:web="0e2bac63-7935-4451-9bf4-ebd134ce4d3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e2bac63-7935-4451-9bf4-ebd134ce4d3a" xsi:nil="true"/>
    <lcf76f155ced4ddcb4097134ff3c332f xmlns="8e9a8bac-6399-41e0-ae29-be0bac21971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AED2967-8819-4BC2-9D0A-B52EC2D4B90B}"/>
</file>

<file path=customXml/itemProps2.xml><?xml version="1.0" encoding="utf-8"?>
<ds:datastoreItem xmlns:ds="http://schemas.openxmlformats.org/officeDocument/2006/customXml" ds:itemID="{ADAC54BD-6EDE-4CAD-9EF5-1D5BADAAB7FF}"/>
</file>

<file path=customXml/itemProps3.xml><?xml version="1.0" encoding="utf-8"?>
<ds:datastoreItem xmlns:ds="http://schemas.openxmlformats.org/officeDocument/2006/customXml" ds:itemID="{1E8BEE00-A492-4A58-A8C0-EB13EEC795A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版本历史</vt:lpstr>
      <vt:lpstr>MARS-1231-32U3X</vt:lpstr>
      <vt:lpstr>MARS-1230-23U3X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2022-08-26T07:41:18Z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0x01010018B1D4FD92196841803EE860CCD88BE3</vt:lpwstr>
  </property>
</Properties>
</file>