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theme/theme1.xml" ContentType="application/vnd.openxmlformats-officedocument.theme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3.xml" ContentType="application/vnd.openxmlformats-officedocument.spreadsheetml.comments+xml"/>
  <Override PartName="/xl/comments1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vn\rd_mer_gige\doc\user manual\MER3\帧率计算工具\"/>
    </mc:Choice>
  </mc:AlternateContent>
  <bookViews>
    <workbookView xWindow="0" yWindow="0" windowWidth="19200" windowHeight="17790" tabRatio="868"/>
  </bookViews>
  <sheets>
    <sheet name="Revision History" sheetId="15" r:id="rId1"/>
    <sheet name="MER3-1221-24G3X-P" sheetId="76" r:id="rId2"/>
    <sheet name="MER3-800-36G3X-P" sheetId="77" r:id="rId3"/>
    <sheet name="MER3-506-58G3X-P" sheetId="78" r:id="rId4"/>
    <sheet name="MER3-810-36G3M-P-UV" sheetId="79" r:id="rId5"/>
  </sheets>
  <calcPr calcId="162913"/>
  <customWorkbookViews>
    <customWorkbookView name="administrator - 个人视图" guid="{9F73C155-CDDB-4969-BDA6-6B1932D3C988}" personalView="1" maximized="1" windowWidth="1440" windowHeight="631" activeSheetId="0"/>
  </customWorkbookViews>
</workbook>
</file>

<file path=xl/calcChain.xml><?xml version="1.0" encoding="utf-8"?>
<calcChain xmlns="http://schemas.openxmlformats.org/spreadsheetml/2006/main">
  <c r="Q96" i="79" l="1"/>
  <c r="I91" i="79"/>
  <c r="D86" i="79"/>
  <c r="AA51" i="79" s="1"/>
  <c r="T85" i="79"/>
  <c r="D85" i="79"/>
  <c r="W83" i="79"/>
  <c r="D83" i="79"/>
  <c r="C83" i="79"/>
  <c r="D82" i="79"/>
  <c r="J81" i="79"/>
  <c r="D80" i="79"/>
  <c r="P79" i="79"/>
  <c r="D79" i="79"/>
  <c r="P98" i="79" s="1"/>
  <c r="J78" i="79"/>
  <c r="D78" i="79"/>
  <c r="J77" i="79"/>
  <c r="D77" i="79"/>
  <c r="P93" i="79" s="1"/>
  <c r="P75" i="79"/>
  <c r="P74" i="79"/>
  <c r="P89" i="79" s="1"/>
  <c r="D71" i="79"/>
  <c r="D70" i="79"/>
  <c r="K64" i="79"/>
  <c r="P63" i="79"/>
  <c r="P62" i="79"/>
  <c r="K62" i="79"/>
  <c r="D62" i="79"/>
  <c r="P61" i="79"/>
  <c r="P60" i="79"/>
  <c r="K60" i="79"/>
  <c r="P59" i="79"/>
  <c r="P58" i="79"/>
  <c r="K58" i="79"/>
  <c r="D58" i="79"/>
  <c r="P57" i="79"/>
  <c r="K57" i="79"/>
  <c r="D57" i="79"/>
  <c r="C57" i="79"/>
  <c r="AT56" i="79"/>
  <c r="P56" i="79" s="1"/>
  <c r="K56" i="79"/>
  <c r="K55" i="79"/>
  <c r="P54" i="79"/>
  <c r="P53" i="79"/>
  <c r="D53" i="79"/>
  <c r="P52" i="79"/>
  <c r="P51" i="79"/>
  <c r="D8" i="79"/>
  <c r="Q96" i="78"/>
  <c r="I91" i="78"/>
  <c r="D86" i="78"/>
  <c r="T85" i="78"/>
  <c r="D85" i="78"/>
  <c r="W83" i="78"/>
  <c r="D83" i="78"/>
  <c r="C83" i="78"/>
  <c r="D82" i="78"/>
  <c r="J81" i="78"/>
  <c r="D80" i="78"/>
  <c r="P79" i="78"/>
  <c r="J86" i="78" s="1"/>
  <c r="J87" i="78" s="1"/>
  <c r="D79" i="78"/>
  <c r="P98" i="78" s="1"/>
  <c r="J78" i="78"/>
  <c r="D78" i="78"/>
  <c r="J77" i="78"/>
  <c r="D77" i="78"/>
  <c r="J68" i="78" s="1"/>
  <c r="P75" i="78"/>
  <c r="P74" i="78"/>
  <c r="P76" i="78" s="1"/>
  <c r="D71" i="78"/>
  <c r="D70" i="78"/>
  <c r="P82" i="78" s="1"/>
  <c r="P83" i="78" s="1"/>
  <c r="K64" i="78"/>
  <c r="P63" i="78"/>
  <c r="P62" i="78"/>
  <c r="K62" i="78"/>
  <c r="D62" i="78"/>
  <c r="P61" i="78"/>
  <c r="P60" i="78"/>
  <c r="K60" i="78"/>
  <c r="P59" i="78"/>
  <c r="P58" i="78"/>
  <c r="K58" i="78"/>
  <c r="D58" i="78"/>
  <c r="P57" i="78"/>
  <c r="K57" i="78"/>
  <c r="D57" i="78"/>
  <c r="C57" i="78"/>
  <c r="K56" i="78"/>
  <c r="K55" i="78"/>
  <c r="P54" i="78"/>
  <c r="P53" i="78"/>
  <c r="D53" i="78"/>
  <c r="P52" i="78"/>
  <c r="P51" i="78"/>
  <c r="Q96" i="77"/>
  <c r="I91" i="77"/>
  <c r="D86" i="77"/>
  <c r="AA54" i="77" s="1"/>
  <c r="T85" i="77"/>
  <c r="D85" i="77"/>
  <c r="AT56" i="77" s="1"/>
  <c r="W83" i="77"/>
  <c r="D83" i="77"/>
  <c r="C83" i="77"/>
  <c r="D82" i="77"/>
  <c r="J81" i="77"/>
  <c r="D80" i="77"/>
  <c r="P79" i="77"/>
  <c r="D79" i="77"/>
  <c r="P98" i="77" s="1"/>
  <c r="J78" i="77"/>
  <c r="D78" i="77"/>
  <c r="J77" i="77"/>
  <c r="D77" i="77"/>
  <c r="P95" i="77" s="1"/>
  <c r="P75" i="77"/>
  <c r="P74" i="77"/>
  <c r="P76" i="77" s="1"/>
  <c r="D71" i="77"/>
  <c r="D70" i="77"/>
  <c r="K64" i="77"/>
  <c r="P63" i="77"/>
  <c r="P62" i="77"/>
  <c r="K62" i="77"/>
  <c r="D62" i="77"/>
  <c r="P61" i="77"/>
  <c r="P60" i="77"/>
  <c r="K60" i="77"/>
  <c r="P59" i="77"/>
  <c r="P58" i="77"/>
  <c r="K58" i="77"/>
  <c r="D58" i="77"/>
  <c r="P57" i="77"/>
  <c r="K57" i="77"/>
  <c r="D57" i="77"/>
  <c r="C57" i="77"/>
  <c r="K56" i="77"/>
  <c r="K55" i="77"/>
  <c r="P54" i="77"/>
  <c r="P53" i="77"/>
  <c r="D53" i="77"/>
  <c r="J86" i="77" s="1"/>
  <c r="J87" i="77" s="1"/>
  <c r="AA52" i="77"/>
  <c r="P52" i="77"/>
  <c r="AA51" i="77"/>
  <c r="P51" i="77"/>
  <c r="AT50" i="77"/>
  <c r="AE50" i="77"/>
  <c r="Q96" i="76"/>
  <c r="I91" i="76"/>
  <c r="D86" i="76"/>
  <c r="AA54" i="76" s="1"/>
  <c r="T85" i="76"/>
  <c r="D85" i="76"/>
  <c r="W83" i="76"/>
  <c r="D83" i="76"/>
  <c r="C83" i="76"/>
  <c r="P82" i="76"/>
  <c r="D82" i="76"/>
  <c r="J81" i="76"/>
  <c r="D80" i="76"/>
  <c r="P79" i="76"/>
  <c r="J86" i="76" s="1"/>
  <c r="J87" i="76" s="1"/>
  <c r="D79" i="76"/>
  <c r="J71" i="76" s="1"/>
  <c r="W87" i="76" s="1"/>
  <c r="J78" i="76"/>
  <c r="D78" i="76"/>
  <c r="J77" i="76"/>
  <c r="D77" i="76"/>
  <c r="P95" i="76" s="1"/>
  <c r="P75" i="76"/>
  <c r="P74" i="76"/>
  <c r="P76" i="76" s="1"/>
  <c r="D71" i="76"/>
  <c r="D70" i="76"/>
  <c r="K64" i="76"/>
  <c r="P63" i="76"/>
  <c r="P62" i="76"/>
  <c r="K62" i="76"/>
  <c r="D62" i="76"/>
  <c r="P61" i="76"/>
  <c r="J64" i="76" s="1"/>
  <c r="P60" i="76"/>
  <c r="K60" i="76"/>
  <c r="P59" i="76"/>
  <c r="P58" i="76"/>
  <c r="K58" i="76"/>
  <c r="D58" i="76"/>
  <c r="P57" i="76"/>
  <c r="J55" i="76" s="1"/>
  <c r="K57" i="76"/>
  <c r="D57" i="76"/>
  <c r="C57" i="76"/>
  <c r="K56" i="76"/>
  <c r="K55" i="76"/>
  <c r="P54" i="76"/>
  <c r="P53" i="76"/>
  <c r="D53" i="76"/>
  <c r="P52" i="76"/>
  <c r="P51" i="76"/>
  <c r="AE51" i="77" l="1"/>
  <c r="AA55" i="77"/>
  <c r="AA50" i="77"/>
  <c r="AE54" i="77"/>
  <c r="AT54" i="77"/>
  <c r="AM56" i="77"/>
  <c r="AT54" i="76"/>
  <c r="AA50" i="79"/>
  <c r="J55" i="79"/>
  <c r="W75" i="79" s="1"/>
  <c r="AE51" i="79"/>
  <c r="AE50" i="79"/>
  <c r="AA53" i="79"/>
  <c r="AM56" i="79"/>
  <c r="C71" i="79" s="1"/>
  <c r="C3" i="79" s="1"/>
  <c r="D5" i="79" s="1"/>
  <c r="AT50" i="79"/>
  <c r="AL56" i="79"/>
  <c r="C70" i="79" s="1"/>
  <c r="C2" i="79" s="1"/>
  <c r="AA54" i="79"/>
  <c r="AT53" i="79"/>
  <c r="AE53" i="79"/>
  <c r="AA55" i="79"/>
  <c r="AE54" i="79"/>
  <c r="AT54" i="79"/>
  <c r="AT54" i="78"/>
  <c r="P56" i="78" s="1"/>
  <c r="AE54" i="78"/>
  <c r="P55" i="78" s="1"/>
  <c r="AM56" i="78"/>
  <c r="AA51" i="78"/>
  <c r="AE53" i="78"/>
  <c r="AT56" i="78"/>
  <c r="AA50" i="78"/>
  <c r="AE51" i="78"/>
  <c r="AT53" i="78"/>
  <c r="AA55" i="78"/>
  <c r="AT50" i="78"/>
  <c r="AA54" i="78"/>
  <c r="AE50" i="78"/>
  <c r="J55" i="78"/>
  <c r="W75" i="78" s="1"/>
  <c r="J64" i="78"/>
  <c r="AA53" i="78"/>
  <c r="AM54" i="78"/>
  <c r="C71" i="78" s="1"/>
  <c r="C3" i="78" s="1"/>
  <c r="AL56" i="78"/>
  <c r="AL54" i="78"/>
  <c r="C70" i="78" s="1"/>
  <c r="C2" i="78" s="1"/>
  <c r="W84" i="78" s="1"/>
  <c r="P89" i="78"/>
  <c r="AE53" i="77"/>
  <c r="AT53" i="77"/>
  <c r="P89" i="77"/>
  <c r="P82" i="77"/>
  <c r="P83" i="77" s="1"/>
  <c r="P84" i="77" s="1"/>
  <c r="P85" i="77" s="1"/>
  <c r="P87" i="77" s="1"/>
  <c r="J64" i="77"/>
  <c r="J55" i="77"/>
  <c r="W75" i="77" s="1"/>
  <c r="AA53" i="77"/>
  <c r="AM55" i="77"/>
  <c r="C71" i="77" s="1"/>
  <c r="C3" i="77" s="1"/>
  <c r="AL56" i="77"/>
  <c r="AL55" i="77"/>
  <c r="C70" i="77" s="1"/>
  <c r="C2" i="77" s="1"/>
  <c r="AA50" i="76"/>
  <c r="AE50" i="76"/>
  <c r="AT50" i="76"/>
  <c r="AA51" i="76"/>
  <c r="AE51" i="76"/>
  <c r="AT53" i="76"/>
  <c r="P56" i="76" s="1"/>
  <c r="P86" i="76"/>
  <c r="P89" i="76"/>
  <c r="AE53" i="76"/>
  <c r="P55" i="76" s="1"/>
  <c r="J51" i="76" s="1"/>
  <c r="J60" i="76" s="1"/>
  <c r="W79" i="76" s="1"/>
  <c r="AE54" i="76"/>
  <c r="AA53" i="76"/>
  <c r="AM53" i="76"/>
  <c r="C71" i="76" s="1"/>
  <c r="C3" i="76" s="1"/>
  <c r="AA55" i="76"/>
  <c r="AL56" i="76"/>
  <c r="AL53" i="76"/>
  <c r="C70" i="76" s="1"/>
  <c r="C2" i="76" s="1"/>
  <c r="AM56" i="76"/>
  <c r="AT56" i="76"/>
  <c r="P82" i="79"/>
  <c r="P83" i="79" s="1"/>
  <c r="P84" i="79" s="1"/>
  <c r="J64" i="79"/>
  <c r="P76" i="79"/>
  <c r="P88" i="79"/>
  <c r="W86" i="79"/>
  <c r="P95" i="79"/>
  <c r="AE55" i="79"/>
  <c r="AT55" i="79"/>
  <c r="AA56" i="79"/>
  <c r="J68" i="79"/>
  <c r="J71" i="79"/>
  <c r="W87" i="79" s="1"/>
  <c r="AC56" i="79"/>
  <c r="AD56" i="79"/>
  <c r="J61" i="79"/>
  <c r="W89" i="79" s="1"/>
  <c r="AT51" i="79"/>
  <c r="J70" i="79"/>
  <c r="W88" i="79" s="1"/>
  <c r="AA52" i="79"/>
  <c r="AT52" i="79"/>
  <c r="AE52" i="79"/>
  <c r="AE56" i="79"/>
  <c r="P55" i="79" s="1"/>
  <c r="W86" i="78"/>
  <c r="J61" i="78"/>
  <c r="W89" i="78" s="1"/>
  <c r="P88" i="78"/>
  <c r="P84" i="78"/>
  <c r="P85" i="78" s="1"/>
  <c r="P87" i="78" s="1"/>
  <c r="W76" i="78"/>
  <c r="J51" i="78"/>
  <c r="J60" i="78" s="1"/>
  <c r="AA56" i="78"/>
  <c r="P95" i="78"/>
  <c r="AE52" i="78"/>
  <c r="AT55" i="78"/>
  <c r="J70" i="78"/>
  <c r="W88" i="78" s="1"/>
  <c r="P93" i="78"/>
  <c r="AA52" i="78"/>
  <c r="P86" i="78"/>
  <c r="AT52" i="78"/>
  <c r="J71" i="78"/>
  <c r="W87" i="78" s="1"/>
  <c r="AC56" i="78"/>
  <c r="AD56" i="78"/>
  <c r="AT51" i="78"/>
  <c r="AE55" i="78"/>
  <c r="AE56" i="78"/>
  <c r="J61" i="77"/>
  <c r="W89" i="77" s="1"/>
  <c r="P88" i="77"/>
  <c r="W86" i="77"/>
  <c r="J70" i="77"/>
  <c r="W88" i="77" s="1"/>
  <c r="P93" i="77"/>
  <c r="AT51" i="77"/>
  <c r="AE55" i="77"/>
  <c r="P55" i="77" s="1"/>
  <c r="J68" i="77"/>
  <c r="AT55" i="77"/>
  <c r="P56" i="77" s="1"/>
  <c r="AE52" i="77"/>
  <c r="AT52" i="77"/>
  <c r="AA56" i="77"/>
  <c r="J71" i="77"/>
  <c r="W87" i="77" s="1"/>
  <c r="AC56" i="77"/>
  <c r="AD56" i="77"/>
  <c r="AE56" i="77"/>
  <c r="P88" i="76"/>
  <c r="J61" i="76"/>
  <c r="W89" i="76" s="1"/>
  <c r="W86" i="76"/>
  <c r="W75" i="76"/>
  <c r="J68" i="76"/>
  <c r="AE55" i="76"/>
  <c r="J70" i="76"/>
  <c r="W88" i="76" s="1"/>
  <c r="P93" i="76"/>
  <c r="AA52" i="76"/>
  <c r="AT51" i="76"/>
  <c r="AD56" i="76"/>
  <c r="AT55" i="76"/>
  <c r="AE52" i="76"/>
  <c r="P98" i="76"/>
  <c r="P83" i="76"/>
  <c r="AT52" i="76"/>
  <c r="AA56" i="76"/>
  <c r="AC56" i="76"/>
  <c r="AE56" i="76"/>
  <c r="P86" i="77" l="1"/>
  <c r="P91" i="77" s="1"/>
  <c r="J86" i="79"/>
  <c r="J87" i="79" s="1"/>
  <c r="D4" i="79"/>
  <c r="B39" i="79"/>
  <c r="D24" i="79" s="1"/>
  <c r="P86" i="79"/>
  <c r="P91" i="79" s="1"/>
  <c r="J63" i="78"/>
  <c r="W84" i="76"/>
  <c r="W76" i="76"/>
  <c r="J51" i="79"/>
  <c r="W84" i="79"/>
  <c r="W76" i="79"/>
  <c r="P85" i="79"/>
  <c r="P87" i="79" s="1"/>
  <c r="W79" i="78"/>
  <c r="J57" i="78"/>
  <c r="B59" i="78"/>
  <c r="C59" i="78"/>
  <c r="P91" i="78"/>
  <c r="H89" i="78"/>
  <c r="J62" i="78"/>
  <c r="W77" i="78" s="1"/>
  <c r="J79" i="78"/>
  <c r="W78" i="78" s="1"/>
  <c r="P90" i="78"/>
  <c r="P92" i="78" s="1"/>
  <c r="W84" i="77"/>
  <c r="J51" i="77"/>
  <c r="W76" i="77"/>
  <c r="J63" i="76"/>
  <c r="J79" i="76"/>
  <c r="W78" i="76" s="1"/>
  <c r="J62" i="76"/>
  <c r="W77" i="76" s="1"/>
  <c r="H89" i="76"/>
  <c r="P84" i="76"/>
  <c r="P85" i="76" s="1"/>
  <c r="P87" i="76" s="1"/>
  <c r="B59" i="76"/>
  <c r="C59" i="76"/>
  <c r="J57" i="76"/>
  <c r="P90" i="77" l="1"/>
  <c r="P92" i="77" s="1"/>
  <c r="P90" i="79"/>
  <c r="P99" i="79" s="1"/>
  <c r="J73" i="79" s="1"/>
  <c r="J79" i="79"/>
  <c r="W78" i="79" s="1"/>
  <c r="J62" i="79"/>
  <c r="W77" i="79" s="1"/>
  <c r="B59" i="79"/>
  <c r="J60" i="79"/>
  <c r="J63" i="79"/>
  <c r="H89" i="79"/>
  <c r="C59" i="79"/>
  <c r="J57" i="79"/>
  <c r="J75" i="78"/>
  <c r="P96" i="78"/>
  <c r="P94" i="78"/>
  <c r="J58" i="78" s="1"/>
  <c r="P99" i="78"/>
  <c r="J73" i="78" s="1"/>
  <c r="J83" i="78"/>
  <c r="J56" i="78" s="1"/>
  <c r="J62" i="77"/>
  <c r="W77" i="77" s="1"/>
  <c r="J79" i="77"/>
  <c r="W78" i="77" s="1"/>
  <c r="H89" i="77"/>
  <c r="J60" i="77"/>
  <c r="J63" i="77"/>
  <c r="B59" i="77"/>
  <c r="C59" i="77"/>
  <c r="J57" i="77"/>
  <c r="P90" i="76"/>
  <c r="P91" i="76"/>
  <c r="J83" i="76"/>
  <c r="J56" i="76" s="1"/>
  <c r="J75" i="77" l="1"/>
  <c r="P94" i="77"/>
  <c r="J58" i="77" s="1"/>
  <c r="P96" i="77"/>
  <c r="P99" i="77"/>
  <c r="J73" i="77" s="1"/>
  <c r="C15" i="77" s="1"/>
  <c r="P92" i="79"/>
  <c r="B79" i="79"/>
  <c r="C15" i="79"/>
  <c r="W79" i="79"/>
  <c r="J83" i="79"/>
  <c r="J56" i="79" s="1"/>
  <c r="J75" i="79"/>
  <c r="P96" i="79"/>
  <c r="P94" i="79"/>
  <c r="J58" i="79" s="1"/>
  <c r="B79" i="78"/>
  <c r="C15" i="78"/>
  <c r="B80" i="78"/>
  <c r="C20" i="78"/>
  <c r="J52" i="78"/>
  <c r="J53" i="78" s="1"/>
  <c r="W80" i="78"/>
  <c r="W81" i="78"/>
  <c r="W82" i="78"/>
  <c r="B80" i="77"/>
  <c r="C20" i="77"/>
  <c r="J83" i="77"/>
  <c r="J56" i="77" s="1"/>
  <c r="W79" i="77"/>
  <c r="W81" i="76"/>
  <c r="P92" i="76"/>
  <c r="P99" i="76"/>
  <c r="J73" i="76" s="1"/>
  <c r="B79" i="77" l="1"/>
  <c r="B80" i="79"/>
  <c r="C20" i="79"/>
  <c r="W82" i="79"/>
  <c r="W80" i="79"/>
  <c r="W81" i="79"/>
  <c r="J52" i="79"/>
  <c r="J53" i="79" s="1"/>
  <c r="D94" i="78"/>
  <c r="C24" i="78" s="1"/>
  <c r="J66" i="78"/>
  <c r="J67" i="78"/>
  <c r="H90" i="78" s="1"/>
  <c r="W81" i="77"/>
  <c r="W82" i="77"/>
  <c r="W80" i="77"/>
  <c r="J52" i="77"/>
  <c r="J53" i="77" s="1"/>
  <c r="B79" i="76"/>
  <c r="C15" i="76"/>
  <c r="P94" i="76"/>
  <c r="J58" i="76" s="1"/>
  <c r="J75" i="76"/>
  <c r="P96" i="76"/>
  <c r="W82" i="76" s="1"/>
  <c r="D94" i="79" l="1"/>
  <c r="C24" i="79" s="1"/>
  <c r="J66" i="79"/>
  <c r="J67" i="79"/>
  <c r="H90" i="79" s="1"/>
  <c r="H91" i="78"/>
  <c r="H92" i="78" s="1"/>
  <c r="H93" i="78"/>
  <c r="J66" i="77"/>
  <c r="D94" i="77"/>
  <c r="C24" i="77" s="1"/>
  <c r="J67" i="77"/>
  <c r="H90" i="77" s="1"/>
  <c r="B80" i="76"/>
  <c r="C20" i="76"/>
  <c r="J52" i="76"/>
  <c r="J53" i="76" s="1"/>
  <c r="W80" i="76"/>
  <c r="H91" i="79" l="1"/>
  <c r="H92" i="79" s="1"/>
  <c r="H93" i="79"/>
  <c r="H91" i="77"/>
  <c r="H92" i="77" s="1"/>
  <c r="H93" i="77"/>
  <c r="J66" i="76"/>
  <c r="D94" i="76"/>
  <c r="C24" i="76" s="1"/>
  <c r="J67" i="76"/>
  <c r="H90" i="76" s="1"/>
  <c r="H91" i="76" l="1"/>
  <c r="H92" i="76" s="1"/>
  <c r="H93" i="76"/>
  <c r="D8" i="78" l="1"/>
  <c r="D5" i="77"/>
  <c r="D8" i="77"/>
  <c r="D4" i="78" l="1"/>
  <c r="B39" i="78"/>
  <c r="D24" i="78" s="1"/>
  <c r="D5" i="78"/>
  <c r="B39" i="77"/>
  <c r="D24" i="77" s="1"/>
  <c r="D4" i="77"/>
  <c r="D5" i="76" l="1"/>
  <c r="D8" i="76"/>
  <c r="B39" i="76" l="1"/>
  <c r="D24" i="76" s="1"/>
  <c r="D4" i="76"/>
</calcChain>
</file>

<file path=xl/comments1.xml><?xml version="1.0" encoding="utf-8"?>
<comments xmlns="http://schemas.openxmlformats.org/spreadsheetml/2006/main">
  <authors>
    <author>wanglu</author>
    <author>作者</author>
    <author>zhoujinjian</author>
  </authors>
  <commentList>
    <comment ref="AF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88+GMRWT+GMTWT+GSDLY，其中GMRWT+GMTWT+GSDLY取BPP8、BPP10和BPP12中黑白彩色sensor的最大值</t>
        </r>
      </text>
    </comment>
    <comment ref="AG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sensor位深为BPP8、BPP10和BPP12、sensor为黑白彩色、是否开sensor skipping时的值不同，取各种情况下的最大值</t>
        </r>
      </text>
    </comment>
    <comment ref="H61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标准模式小曝光下[3us~20us]，强制非交叠曝光，曝光长度单位为us</t>
        </r>
      </text>
    </comment>
    <comment ref="J71" authorId="2" shapeId="0">
      <text>
        <r>
          <rPr>
            <b/>
            <sz val="9"/>
            <color indexed="81"/>
            <rFont val="宋体"/>
            <family val="3"/>
            <charset val="134"/>
          </rPr>
          <t>zhoujinjian:</t>
        </r>
        <r>
          <rPr>
            <sz val="9"/>
            <color indexed="81"/>
            <rFont val="宋体"/>
            <family val="3"/>
            <charset val="134"/>
          </rPr>
          <t xml:space="preserve">
具体解释见包间隔计算方案</t>
        </r>
      </text>
    </comment>
    <comment ref="I83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标准曝光模式小曝光区间内强制非交叠触发，帧周期为trigger长度+设置曝光延迟行数+读出决定帧周期+2行余量，余量包含GMRWT(us)+toffset</t>
        </r>
      </text>
    </comment>
  </commentList>
</comments>
</file>

<file path=xl/comments2.xml><?xml version="1.0" encoding="utf-8"?>
<comments xmlns="http://schemas.openxmlformats.org/spreadsheetml/2006/main">
  <authors>
    <author>wanglu</author>
    <author>作者</author>
    <author>zhoujinjian</author>
  </authors>
  <commentList>
    <comment ref="AF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88+GMRWT+GMTWT+GSDLY，其中GMRWT+GMTWT+GSDLY取BPP8、BPP10和BPP12中黑白彩色sensor的最大值</t>
        </r>
      </text>
    </comment>
    <comment ref="AG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sensor位深为BPP8、BPP10和BPP12、sensor为黑白彩色、是否开sensor skipping时的值不同，取各种情况下的最大值</t>
        </r>
      </text>
    </comment>
    <comment ref="H61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标准模式小曝光下[3us~20us]，强制非交叠曝光，曝光长度单位为us</t>
        </r>
      </text>
    </comment>
    <comment ref="J71" authorId="2" shapeId="0">
      <text>
        <r>
          <rPr>
            <b/>
            <sz val="9"/>
            <color indexed="81"/>
            <rFont val="宋体"/>
            <family val="3"/>
            <charset val="134"/>
          </rPr>
          <t>zhoujinjian:</t>
        </r>
        <r>
          <rPr>
            <sz val="9"/>
            <color indexed="81"/>
            <rFont val="宋体"/>
            <family val="3"/>
            <charset val="134"/>
          </rPr>
          <t xml:space="preserve">
具体解释见包间隔计算方案</t>
        </r>
      </text>
    </comment>
    <comment ref="I83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标准曝光模式小曝光区间内强制非交叠触发，帧周期为trigger长度+设置曝光延迟行数+读出决定帧周期+2行余量，余量包含GMRWT(us)+toffset</t>
        </r>
      </text>
    </comment>
  </commentList>
</comments>
</file>

<file path=xl/comments3.xml><?xml version="1.0" encoding="utf-8"?>
<comments xmlns="http://schemas.openxmlformats.org/spreadsheetml/2006/main">
  <authors>
    <author>wanglu</author>
    <author>作者</author>
    <author>zhoujinjian</author>
  </authors>
  <commentList>
    <comment ref="AF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88+GMRWT+GMTWT+GSDLY，其中GMRWT+GMTWT+GSDLY取BPP8、BPP10和BPP12中黑白彩色sensor的最大值</t>
        </r>
      </text>
    </comment>
    <comment ref="AG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sensor位深为BPP8、BPP10和BPP12、sensor为黑白彩色、是否开sensor skipping时的值不同，取各种情况下的最大值</t>
        </r>
      </text>
    </comment>
    <comment ref="H61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标准模式小曝光下[3us~20us]，强制非交叠曝光，曝光长度单位为us</t>
        </r>
      </text>
    </comment>
    <comment ref="J71" authorId="2" shapeId="0">
      <text>
        <r>
          <rPr>
            <b/>
            <sz val="9"/>
            <color indexed="81"/>
            <rFont val="宋体"/>
            <family val="3"/>
            <charset val="134"/>
          </rPr>
          <t>zhoujinjian:</t>
        </r>
        <r>
          <rPr>
            <sz val="9"/>
            <color indexed="81"/>
            <rFont val="宋体"/>
            <family val="3"/>
            <charset val="134"/>
          </rPr>
          <t xml:space="preserve">
具体解释见包间隔计算方案</t>
        </r>
      </text>
    </comment>
    <comment ref="I83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标准曝光模式小曝光区间内强制非交叠触发，帧周期为trigger长度+设置曝光延迟行数+读出决定帧周期+2行余量，余量包含GMRWT(us)+toffset</t>
        </r>
      </text>
    </comment>
  </commentList>
</comments>
</file>

<file path=xl/comments4.xml><?xml version="1.0" encoding="utf-8"?>
<comments xmlns="http://schemas.openxmlformats.org/spreadsheetml/2006/main">
  <authors>
    <author>wanglu</author>
    <author>作者</author>
    <author>zhoujinjian</author>
  </authors>
  <commentList>
    <comment ref="AF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88+GMRWT+GMTWT+GSDLY，其中GMRWT+GMTWT+GSDLY取BPP8、BPP10和BPP12中黑白彩色sensor的最大值</t>
        </r>
      </text>
    </comment>
    <comment ref="AG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sensor位深为BPP8、BPP10和BPP12、sensor为黑白彩色、是否开sensor skipping时的值不同，取各种情况下的最大值</t>
        </r>
      </text>
    </comment>
    <comment ref="H61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标准模式小曝光下[3us~20us]，强制非交叠曝光，曝光长度单位为us</t>
        </r>
      </text>
    </comment>
    <comment ref="J71" authorId="2" shapeId="0">
      <text>
        <r>
          <rPr>
            <b/>
            <sz val="9"/>
            <color indexed="81"/>
            <rFont val="宋体"/>
            <family val="3"/>
            <charset val="134"/>
          </rPr>
          <t>zhoujinjian:</t>
        </r>
        <r>
          <rPr>
            <sz val="9"/>
            <color indexed="81"/>
            <rFont val="宋体"/>
            <family val="3"/>
            <charset val="134"/>
          </rPr>
          <t xml:space="preserve">
具体解释见包间隔计算方案</t>
        </r>
      </text>
    </comment>
    <comment ref="I83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标准曝光模式小曝光区间内强制非交叠触发，帧周期为trigger长度+设置曝光延迟行数+读出决定帧周期+2行余量，余量包含GMRWT(us)+toffset</t>
        </r>
      </text>
    </comment>
  </commentList>
</comments>
</file>

<file path=xl/sharedStrings.xml><?xml version="1.0" encoding="utf-8"?>
<sst xmlns="http://schemas.openxmlformats.org/spreadsheetml/2006/main" count="2471" uniqueCount="923">
  <si>
    <t>Version</t>
  </si>
  <si>
    <t>Revision</t>
  </si>
  <si>
    <t>Date</t>
  </si>
  <si>
    <t>1.0.0</t>
  </si>
  <si>
    <t>参数输入：</t>
  </si>
  <si>
    <t>图像宽度最大值</t>
  </si>
  <si>
    <t>WidthMax</t>
  </si>
  <si>
    <t>图像高度最大值</t>
  </si>
  <si>
    <t>HeightMax</t>
  </si>
  <si>
    <t>图像宽度</t>
  </si>
  <si>
    <t>Width</t>
  </si>
  <si>
    <t>图像高度</t>
  </si>
  <si>
    <t>Height</t>
  </si>
  <si>
    <t>水平像素Binning</t>
  </si>
  <si>
    <t>BinningHorizontal</t>
  </si>
  <si>
    <t>垂直像素Binning</t>
  </si>
  <si>
    <t>BinningVertical</t>
  </si>
  <si>
    <t>水平像素抽样</t>
  </si>
  <si>
    <t>垂直像素抽样</t>
  </si>
  <si>
    <t>曝光时间</t>
  </si>
  <si>
    <t>ExposureTime(us)</t>
  </si>
  <si>
    <t>曝光延迟</t>
  </si>
  <si>
    <t>ExposureDelay(us)</t>
  </si>
  <si>
    <t>像素格式</t>
  </si>
  <si>
    <t>包长</t>
  </si>
  <si>
    <t>GevSCPSPacketSize</t>
  </si>
  <si>
    <t>包间隔</t>
  </si>
  <si>
    <t>GevSCPD</t>
  </si>
  <si>
    <t>包间隔最大值</t>
  </si>
  <si>
    <t>GevSCPDMaxValue</t>
  </si>
  <si>
    <t>采集帧率值</t>
  </si>
  <si>
    <t>GevFramerateABS</t>
  </si>
  <si>
    <t>采集帧率设置使能</t>
  </si>
  <si>
    <t>GevFramerateAbsEn</t>
  </si>
  <si>
    <t>网络连接速度</t>
  </si>
  <si>
    <t>LinkSpeed(Mbps)</t>
  </si>
  <si>
    <t>预留带宽</t>
  </si>
  <si>
    <t>BandwidthReserve</t>
  </si>
  <si>
    <t>预留带宽最大值</t>
  </si>
  <si>
    <t>BandwidthReserveMaxValue</t>
  </si>
  <si>
    <t>残包个数</t>
  </si>
  <si>
    <t>以太网传输image和chunk的大小（包含全部协议开销）</t>
  </si>
  <si>
    <t>帧周期</t>
  </si>
  <si>
    <t>帧率</t>
  </si>
  <si>
    <t>计算结果：</t>
  </si>
  <si>
    <t>FPS</t>
  </si>
  <si>
    <t>触发模式</t>
  </si>
  <si>
    <t>TiggerMode</t>
  </si>
  <si>
    <t>像素时钟频率</t>
  </si>
  <si>
    <t>freq_pix_clk</t>
  </si>
  <si>
    <t>图像行周期NROT</t>
  </si>
  <si>
    <t>最小帧间隔</t>
  </si>
  <si>
    <t>ifg_min</t>
  </si>
  <si>
    <t>image_size</t>
  </si>
  <si>
    <t>image_chunk_size</t>
  </si>
  <si>
    <t>header_in_payload</t>
  </si>
  <si>
    <t>eth_protocol_byte</t>
  </si>
  <si>
    <t>数据包长最小值</t>
  </si>
  <si>
    <t>data_size_min</t>
  </si>
  <si>
    <t>完整包个数</t>
  </si>
  <si>
    <t>complete_packet_num</t>
  </si>
  <si>
    <t>incomplete_packet_num</t>
  </si>
  <si>
    <t>incomplete_packet_size</t>
  </si>
  <si>
    <t>incomplete_packet_size_min</t>
  </si>
  <si>
    <t>leader_packet_size</t>
  </si>
  <si>
    <t>trailer_packet_size</t>
  </si>
  <si>
    <t>frame_packet_size</t>
  </si>
  <si>
    <t>all_packet_gap</t>
  </si>
  <si>
    <t>frame_size</t>
  </si>
  <si>
    <t>以太网有效传输带宽</t>
  </si>
  <si>
    <t>eth_valid_bandwidth</t>
  </si>
  <si>
    <t>后端传输限制的帧周期</t>
  </si>
  <si>
    <t>backend_limit_period_time</t>
  </si>
  <si>
    <t>预估带宽</t>
  </si>
  <si>
    <t>preamble</t>
  </si>
  <si>
    <t>sfd</t>
  </si>
  <si>
    <t>eth_header</t>
  </si>
  <si>
    <t>ip_header</t>
  </si>
  <si>
    <t>udp_header</t>
  </si>
  <si>
    <t>gigev_header</t>
  </si>
  <si>
    <t>fcs</t>
  </si>
  <si>
    <t>leader_size</t>
  </si>
  <si>
    <t>trailer_size</t>
  </si>
  <si>
    <t>chunk_size</t>
  </si>
  <si>
    <t>Image effective bandwidth</t>
  </si>
  <si>
    <t>Transport total value</t>
  </si>
  <si>
    <t>Transport theoretical value</t>
  </si>
  <si>
    <t>Max gevSCPD</t>
  </si>
  <si>
    <t>Max BandwidthReserve</t>
  </si>
  <si>
    <t>F</t>
  </si>
  <si>
    <t>带宽限制帧周期</t>
  </si>
  <si>
    <t>camera_model</t>
  </si>
  <si>
    <t>相机型号</t>
  </si>
  <si>
    <t>计算结果</t>
  </si>
  <si>
    <t>描述</t>
  </si>
  <si>
    <t>用户值
dec</t>
  </si>
  <si>
    <t>参数</t>
  </si>
  <si>
    <t>默认值</t>
  </si>
  <si>
    <t>公式</t>
  </si>
  <si>
    <t>计算值</t>
  </si>
  <si>
    <t>单位</t>
  </si>
  <si>
    <t>前导符</t>
  </si>
  <si>
    <t>固定为7byte</t>
  </si>
  <si>
    <t>byte</t>
  </si>
  <si>
    <t>ns</t>
  </si>
  <si>
    <t>起始帧分界符</t>
  </si>
  <si>
    <t>固定为1byte</t>
  </si>
  <si>
    <t>line</t>
  </si>
  <si>
    <t>以太网协议头</t>
  </si>
  <si>
    <t>目的地址6byte+源地址6byte+以太网类型2byte</t>
  </si>
  <si>
    <t>us</t>
  </si>
  <si>
    <t>ip协议头</t>
  </si>
  <si>
    <t>固定为20byte</t>
  </si>
  <si>
    <t>fps</t>
  </si>
  <si>
    <t>udp协议头</t>
  </si>
  <si>
    <t>固定为8byte</t>
  </si>
  <si>
    <t>gige vision协议头</t>
  </si>
  <si>
    <t>CRC校验</t>
  </si>
  <si>
    <t>固定为4byte</t>
  </si>
  <si>
    <t>触发延迟</t>
  </si>
  <si>
    <t>固定为12byte</t>
  </si>
  <si>
    <t>决定帧周期的四个变量</t>
  </si>
  <si>
    <t>协议开销总和I:以太网负载部分的协议开销</t>
  </si>
  <si>
    <t>ip_header+udp_header+gigev_header</t>
  </si>
  <si>
    <t>readout_period_time</t>
  </si>
  <si>
    <t>读出时间决定的帧周期</t>
  </si>
  <si>
    <t>协议开销总和II:以太网协议开销</t>
  </si>
  <si>
    <t>preamble+sfd+eth_header+fcs</t>
  </si>
  <si>
    <t>exp_period_time</t>
  </si>
  <si>
    <t>曝光时间决定的帧周期</t>
  </si>
  <si>
    <t>64-eth_header-fcs-header_in_payload</t>
  </si>
  <si>
    <t>FPGA寄存器</t>
  </si>
  <si>
    <t>fps_limit_period_time</t>
  </si>
  <si>
    <t>帧率限制帧周期</t>
  </si>
  <si>
    <t>tp_limit_period_time</t>
  </si>
  <si>
    <t>chunk off:36
chunk on:12</t>
  </si>
  <si>
    <t>实际上trailer大小是8byte，为了和64byte的以太网包对齐，此处写为10byte</t>
  </si>
  <si>
    <t>int(image_chunk_size/(GevSCPSPacketSize-header_in_payload))</t>
  </si>
  <si>
    <t>chunk</t>
  </si>
  <si>
    <t>image_chunk_size-(GevSCPSPacketSize-header_in_payload)*complete_packet_num</t>
  </si>
  <si>
    <t>残包大小最少要是64byte
if(incomplete_packet_size&lt;data_size_min,data_size_min,incomplete_packet_size)</t>
  </si>
  <si>
    <t>eth_protocol_byte+header_in_payload+leader_size</t>
  </si>
  <si>
    <t>-</t>
  </si>
  <si>
    <t>最大包间隔</t>
  </si>
  <si>
    <t>leader_packet_size+trailer_packet_size+frame_packet_size+all_packet_gap</t>
  </si>
  <si>
    <t>最大预留带宽</t>
  </si>
  <si>
    <t>%</t>
  </si>
  <si>
    <t>MHz</t>
  </si>
  <si>
    <t>fpga_platform</t>
  </si>
  <si>
    <t>FPGA平台</t>
  </si>
  <si>
    <t>计算过程</t>
  </si>
  <si>
    <t>映射关系表（绝大多数应用于本表格的公式计算，还有一些关联fpga工程中的宏定义）</t>
  </si>
  <si>
    <t>参数输入</t>
  </si>
  <si>
    <t>1.camera_model</t>
  </si>
  <si>
    <t>2.sensor</t>
  </si>
  <si>
    <t>5.phy num</t>
  </si>
  <si>
    <t>6.phy ch num</t>
  </si>
  <si>
    <t>推算值
dec</t>
  </si>
  <si>
    <t>像素格式(8/12)</t>
  </si>
  <si>
    <t>pixel</t>
  </si>
  <si>
    <t>Timed</t>
  </si>
  <si>
    <t>Standard</t>
  </si>
  <si>
    <t>sensor相关信息</t>
  </si>
  <si>
    <t>突发采集模式</t>
  </si>
  <si>
    <t>触发延时</t>
  </si>
  <si>
    <t>ROI</t>
  </si>
  <si>
    <t>图像有效带宽</t>
  </si>
  <si>
    <t>frame_freq*image_size</t>
  </si>
  <si>
    <t>Byte/s</t>
  </si>
  <si>
    <t>传输总带宽</t>
  </si>
  <si>
    <t>frame_freq*frame_packet_size</t>
  </si>
  <si>
    <t>传输理论带宽</t>
  </si>
  <si>
    <t>1250*GevLinkSpeed*(100-BandwidthReserve)</t>
  </si>
  <si>
    <t>推算值
hex</t>
  </si>
  <si>
    <t>说明</t>
  </si>
  <si>
    <t>带宽控制</t>
  </si>
  <si>
    <t>Mbit/s</t>
  </si>
  <si>
    <t>Gige Vision参数</t>
  </si>
  <si>
    <t>exp_delay</t>
  </si>
  <si>
    <t>1:成组生效寄存器设置完成</t>
  </si>
  <si>
    <t>0x1</t>
  </si>
  <si>
    <t>帧周期参数-GIGE</t>
  </si>
  <si>
    <t>trailer长度（净长）</t>
  </si>
  <si>
    <t>chunk大小</t>
  </si>
  <si>
    <t>传输图像大小（净长）</t>
  </si>
  <si>
    <t>Height*Width*n，if pixel format = 8bit，n=1，else n=2</t>
  </si>
  <si>
    <t>图像+chunk大小（净长）</t>
  </si>
  <si>
    <t>残包大小（净长）</t>
  </si>
  <si>
    <t>经过最小包长判断之后的残包大小（净长）</t>
  </si>
  <si>
    <t>以太网传输leader包的大小（包含全部协议开销）</t>
  </si>
  <si>
    <t>以太网传输trailer包的大小（包含全部协议开销）</t>
  </si>
  <si>
    <t>eth_protocol_byte+header_in_payload+trailer_size</t>
  </si>
  <si>
    <t>所有的帧间隔
（前导码和CRC校验已经在计算开销II时加过一次，这里只对最小帧间隔进行计算）</t>
  </si>
  <si>
    <t>(leader+trailer+incomplete_packet_num+complete_packet_num)*(GevSCPD,ifg_min)</t>
  </si>
  <si>
    <t>传输图像尺寸（包含全部协议开销与包间隔）</t>
  </si>
  <si>
    <t>int(link_speed*(100-BandwidthReserve)*10/100/8)</t>
  </si>
  <si>
    <t>byte/10s</t>
  </si>
  <si>
    <t>7.margin_x</t>
  </si>
  <si>
    <t>8.margin_y</t>
  </si>
  <si>
    <t>9.sensor_width_min</t>
  </si>
  <si>
    <t>10.sensor_height_min</t>
  </si>
  <si>
    <t>11.sensor_width_max</t>
  </si>
  <si>
    <t>12.sensor_height_max</t>
  </si>
  <si>
    <t>leader长度（净长）</t>
  </si>
  <si>
    <t>固定参数（每款sensor值不一样，需要提取成宏）</t>
  </si>
  <si>
    <t>参见映射关系表</t>
  </si>
  <si>
    <t>pixel_format</t>
  </si>
  <si>
    <t>frame_time</t>
  </si>
  <si>
    <t>frame_freq</t>
  </si>
  <si>
    <t>1000000/frame_time</t>
  </si>
  <si>
    <t>trig_delay</t>
  </si>
  <si>
    <t>clk</t>
  </si>
  <si>
    <t>寄存器</t>
  </si>
  <si>
    <t>地址hex</t>
  </si>
  <si>
    <t>if(incomplete_packet_size=0,0,1)</t>
  </si>
  <si>
    <t>ROUNDUP(ROUNDUP(1000000*frame_size/eth_valid_bandwidth*10)</t>
  </si>
  <si>
    <t>A7</t>
  </si>
  <si>
    <t>image_size+chunk_size*chunk_mode_active</t>
  </si>
  <si>
    <t>me2s-1221</t>
  </si>
  <si>
    <t>动态位深</t>
    <phoneticPr fontId="9" type="noConversion"/>
  </si>
  <si>
    <t>不支持动态位深</t>
    <phoneticPr fontId="9" type="noConversion"/>
  </si>
  <si>
    <t>BPP8</t>
  </si>
  <si>
    <t>3.Master Clock (KHz)</t>
    <phoneticPr fontId="9" type="noConversion"/>
  </si>
  <si>
    <t>4.pixel_clk(MHz)</t>
    <phoneticPr fontId="9" type="noConversion"/>
  </si>
  <si>
    <t>13.hmax</t>
    <phoneticPr fontId="9" type="noConversion"/>
  </si>
  <si>
    <t>14.Vbmin</t>
    <phoneticPr fontId="9" type="noConversion"/>
  </si>
  <si>
    <t>15.ExpIntMin</t>
    <phoneticPr fontId="9" type="noConversion"/>
  </si>
  <si>
    <t>16.tOFFSET(ns)</t>
    <phoneticPr fontId="9" type="noConversion"/>
  </si>
  <si>
    <t>17.tTGDLY</t>
    <phoneticPr fontId="9" type="noConversion"/>
  </si>
  <si>
    <t>18.PixelFormat</t>
    <phoneticPr fontId="9" type="noConversion"/>
  </si>
  <si>
    <t>19.Default exposureTime</t>
    <phoneticPr fontId="9" type="noConversion"/>
  </si>
  <si>
    <t>20.Default pic_width</t>
    <phoneticPr fontId="9" type="noConversion"/>
  </si>
  <si>
    <t>21.Default pic_height</t>
    <phoneticPr fontId="9" type="noConversion"/>
  </si>
  <si>
    <t>22.Default FrameRate</t>
    <phoneticPr fontId="9" type="noConversion"/>
  </si>
  <si>
    <t>23.gtx_clk</t>
    <phoneticPr fontId="9" type="noConversion"/>
  </si>
  <si>
    <t>24.OB行</t>
    <phoneticPr fontId="9" type="noConversion"/>
  </si>
  <si>
    <t>25.FPGA platform</t>
    <phoneticPr fontId="9" type="noConversion"/>
  </si>
  <si>
    <t>26.sensor_config_time</t>
    <phoneticPr fontId="9" type="noConversion"/>
  </si>
  <si>
    <t>27.exp_overlap_th(us)</t>
    <phoneticPr fontId="9" type="noConversion"/>
  </si>
  <si>
    <t>28.HMAX(75MHz)</t>
    <phoneticPr fontId="9" type="noConversion"/>
  </si>
  <si>
    <t>me2s-2440</t>
    <phoneticPr fontId="9" type="noConversion"/>
  </si>
  <si>
    <t>IMX540</t>
    <phoneticPr fontId="9" type="noConversion"/>
  </si>
  <si>
    <t>像素格式(8/12)</t>
    <phoneticPr fontId="9" type="noConversion"/>
  </si>
  <si>
    <t>A7</t>
    <phoneticPr fontId="9" type="noConversion"/>
  </si>
  <si>
    <t>img_row_time</t>
    <phoneticPr fontId="9" type="noConversion"/>
  </si>
  <si>
    <t>me2s-2020</t>
    <phoneticPr fontId="9" type="noConversion"/>
  </si>
  <si>
    <t>IMX541</t>
  </si>
  <si>
    <t xml:space="preserve">IF(ExposureTimeMode="Ultra Short"）
IF(TriggerMode=1,ROUNDUP(MAX(readout_period_time,exp_period_time,fps_limit_period_time),0),ROUNDUP(MAX(readout_period_time,exp_period_time,fps_limit_period_time,tp_limit_period_time),0))
else
IF(TriggerMode=1,IF(ExposureMode="TriggerWidth",ROUNDUP(MAX(readout_period_time,exp_period_triggerwidth,fps_limit_period_time)*img_row_time/1000,0),ROUNDUP(MAX(readout_period_time,exp_period_time,fps_limit_period_time)*img_row_time/1000,0)),IF(triggercache=0,ROUNDUP(MAX(readout_period_time,exp_period_time,fps_limit_period_time)*img_row_time/1000,0),ROUNDUP(MAX(readout_period_time,exp_period_time,fps_limit_period_time,tp_limit_period_time)*img_row_time/1000,0)ROUNDUP(MAX(readout_period_time,exp_period_time,fps_limit_period_time,tp_limit_period_time)*img_row_time/1000,0))
</t>
    <phoneticPr fontId="9" type="noConversion"/>
  </si>
  <si>
    <t>Finck</t>
    <phoneticPr fontId="9" type="noConversion"/>
  </si>
  <si>
    <t>Sensor输入时钟频率
(手册第一页Features Input frequency)</t>
    <phoneticPr fontId="9" type="noConversion"/>
  </si>
  <si>
    <t>37.125 or 74.25 抖动幅度0.96~1.02</t>
    <phoneticPr fontId="9" type="noConversion"/>
  </si>
  <si>
    <t>KHz</t>
    <phoneticPr fontId="9" type="noConversion"/>
  </si>
  <si>
    <t>me2s-1610</t>
    <phoneticPr fontId="9" type="noConversion"/>
  </si>
  <si>
    <t>IMX542</t>
  </si>
  <si>
    <t>margin_x</t>
    <phoneticPr fontId="9" type="noConversion"/>
  </si>
  <si>
    <t>有效像素边界
(手册Pixel Arrangement章节，图示)</t>
    <phoneticPr fontId="9" type="noConversion"/>
  </si>
  <si>
    <t>参见映射关系表</t>
    <phoneticPr fontId="9" type="noConversion"/>
  </si>
  <si>
    <t>me2s-1221</t>
    <phoneticPr fontId="9" type="noConversion"/>
  </si>
  <si>
    <t>imx545</t>
    <phoneticPr fontId="9" type="noConversion"/>
  </si>
  <si>
    <t>margin_y</t>
    <phoneticPr fontId="9" type="noConversion"/>
  </si>
  <si>
    <t>line</t>
    <phoneticPr fontId="9" type="noConversion"/>
  </si>
  <si>
    <t>me2s-501</t>
    <phoneticPr fontId="9" type="noConversion"/>
  </si>
  <si>
    <t>imx547</t>
    <phoneticPr fontId="9" type="noConversion"/>
  </si>
  <si>
    <t>exposureMode</t>
    <phoneticPr fontId="9" type="noConversion"/>
  </si>
  <si>
    <t>曝光模式</t>
    <phoneticPr fontId="9" type="noConversion"/>
  </si>
  <si>
    <t>IF(ExposureTimeMode="Ultra Short",ROUNDUP((Height+VBmin)*tRow/1000,0)+10,Height+VBmin)</t>
    <phoneticPr fontId="9" type="noConversion"/>
  </si>
  <si>
    <t>hmax</t>
    <phoneticPr fontId="9" type="noConversion"/>
  </si>
  <si>
    <t>每行宽度
(手册Readout Drive Modes章节，见表格，All pixel模式)
注：10bit/12bit下
imx540行周期加倍</t>
    <phoneticPr fontId="9" type="noConversion"/>
  </si>
  <si>
    <t>clk</t>
    <phoneticPr fontId="9" type="noConversion"/>
  </si>
  <si>
    <t>me2s-806</t>
    <phoneticPr fontId="9" type="noConversion"/>
  </si>
  <si>
    <t>imx546</t>
    <phoneticPr fontId="9" type="noConversion"/>
  </si>
  <si>
    <t>ExposureTimeMode</t>
    <phoneticPr fontId="9" type="noConversion"/>
  </si>
  <si>
    <t>曝光时间模式</t>
    <phoneticPr fontId="9" type="noConversion"/>
  </si>
  <si>
    <t>Standard</t>
    <phoneticPr fontId="9" type="noConversion"/>
  </si>
  <si>
    <t>IF(ExposureTimeMode="Ultra Short",exp_period_ultrashort,exp_period_stardard+if(sequencer_configration_mode=0,0,sensor_config_time))</t>
    <phoneticPr fontId="9" type="noConversion"/>
  </si>
  <si>
    <t>HMAX(75MHz)</t>
    <phoneticPr fontId="9" type="noConversion"/>
  </si>
  <si>
    <t>极小曝光模式时的sensorHMAX值，用于计算极小曝光模式下的行周期和帧周期</t>
    <phoneticPr fontId="9" type="noConversion"/>
  </si>
  <si>
    <t>exp_time</t>
    <phoneticPr fontId="9" type="noConversion"/>
  </si>
  <si>
    <t>曝光时间</t>
    <phoneticPr fontId="9" type="noConversion"/>
  </si>
  <si>
    <t>IF(ExposureTimeMode="Ultra Short",ROUNDUP(((1000000/fps_limit_value))*fps_limit,0),ROUNDUP(((1000000000/fps_limit_value)/img_row_time)*fps_limit,0))</t>
    <phoneticPr fontId="9" type="noConversion"/>
  </si>
  <si>
    <t>Vbmin</t>
    <phoneticPr fontId="9" type="noConversion"/>
  </si>
  <si>
    <t>最小帧消隐行数
(手册Global Shutter (Sequential Trigger Mode) Operation章节，VTR公式最后一个参数)</t>
    <phoneticPr fontId="9" type="noConversion"/>
  </si>
  <si>
    <t>bandwidth_limit_period_time（在突发采集现在“HeightSpeed”时，不考虑预留带宽）</t>
    <phoneticPr fontId="9" type="noConversion"/>
  </si>
  <si>
    <t>ExpIntMin</t>
    <phoneticPr fontId="9" type="noConversion"/>
  </si>
  <si>
    <t>两次曝光间隔最小值
(手册Global Shutter (Sequential Trigger Mode) Operation章节，表格Parameter List of Global Shutter中的tTGES+1)</t>
    <phoneticPr fontId="9" type="noConversion"/>
  </si>
  <si>
    <t>ExposureOverlapTimeMax</t>
    <phoneticPr fontId="9" type="noConversion"/>
  </si>
  <si>
    <t>us</t>
    <phoneticPr fontId="9" type="noConversion"/>
  </si>
  <si>
    <t>tOFFSET</t>
    <phoneticPr fontId="9" type="noConversion"/>
  </si>
  <si>
    <t>曝光时间误差
(手册Global Shutter (Sequential Trigger Mode) Operation章节，Exposuretime[s]公式最后一个参数)</t>
    <phoneticPr fontId="9" type="noConversion"/>
  </si>
  <si>
    <t>ns</t>
    <phoneticPr fontId="9" type="noConversion"/>
  </si>
  <si>
    <t>TriggerWidthLength</t>
    <phoneticPr fontId="9" type="noConversion"/>
  </si>
  <si>
    <t>TriggerWidth模式下触发信号长度（demo上没有此项设置，在调试时方便计算帧周期）</t>
    <phoneticPr fontId="9" type="noConversion"/>
  </si>
  <si>
    <t>—</t>
    <phoneticPr fontId="9" type="noConversion"/>
  </si>
  <si>
    <t>xtrig_length</t>
    <phoneticPr fontId="9" type="noConversion"/>
  </si>
  <si>
    <t>曝光信号实际长度</t>
    <phoneticPr fontId="9" type="noConversion"/>
  </si>
  <si>
    <t>IF(ExposureTimeMode="Ultra Short",IF(ExposureTime&gt;INT(tOFFSET/1000),ROUNDUP((ExposureTime*1000-tOFFSET)/1000,0),1),MAX(ROUNDUP(((ExposureTime*1000-tOFFSET)/tRow),0),1))</t>
    <phoneticPr fontId="9" type="noConversion"/>
  </si>
  <si>
    <t>exp_overlap_th</t>
    <phoneticPr fontId="9" type="noConversion"/>
  </si>
  <si>
    <t>交叠-非交叠曝光时间分界值
（timed普通曝光模式下小曝光区间强制非交叠，低于分界值按us曝光；大曝光区间可以交叠，高于分界值按行周期整数倍曝光）</t>
    <phoneticPr fontId="9" type="noConversion"/>
  </si>
  <si>
    <t>触发模式</t>
    <phoneticPr fontId="9" type="noConversion"/>
  </si>
  <si>
    <t>xtrig_length_us</t>
    <phoneticPr fontId="9" type="noConversion"/>
  </si>
  <si>
    <t>曝光信号实际长度(us)</t>
    <phoneticPr fontId="9" type="noConversion"/>
  </si>
  <si>
    <t>IF(ExposureTimeMode="Ultra Short",0,IF((ExposureTime&gt;INT(tOFFSET/1000))*(ExposureTime&lt;=exp_overlap_th)*Horizontal Skipping=1*Vertical Skipping=1),ROUNDUP((ExposureTime*1000-tOFFSET)/1000,0),0))</t>
    <phoneticPr fontId="9" type="noConversion"/>
  </si>
  <si>
    <t>tTGDLY</t>
  </si>
  <si>
    <t>triggermode</t>
    <phoneticPr fontId="9" type="noConversion"/>
  </si>
  <si>
    <t>exp_delay_line_num</t>
    <phoneticPr fontId="9" type="noConversion"/>
  </si>
  <si>
    <t>曝光延迟行数</t>
    <phoneticPr fontId="9" type="noConversion"/>
  </si>
  <si>
    <t>IF(ExposureTimeMode="Ultra Short",ExposureDelay,ROUNDUP(((1000*ExposureDelay)/tRow),0))</t>
    <phoneticPr fontId="9" type="noConversion"/>
  </si>
  <si>
    <t>sensor_config_time</t>
  </si>
  <si>
    <t>配置sensor寄存器需要的时间</t>
  </si>
  <si>
    <t>触发缓存</t>
    <phoneticPr fontId="9" type="noConversion"/>
  </si>
  <si>
    <t>strobe_time</t>
    <phoneticPr fontId="9" type="noConversion"/>
  </si>
  <si>
    <t>极小曝光时，闪光灯维持时间至少比曝光时间要展宽4us；普通曝光时，闪光灯维持时间至少比曝光时间要展宽4个行周期</t>
    <phoneticPr fontId="9" type="noConversion"/>
  </si>
  <si>
    <t>OB</t>
    <phoneticPr fontId="9" type="noConversion"/>
  </si>
  <si>
    <t>OB行数</t>
    <phoneticPr fontId="9" type="noConversion"/>
  </si>
  <si>
    <t>AcquisitionBurstMode</t>
    <phoneticPr fontId="9" type="noConversion"/>
  </si>
  <si>
    <t>readout_time</t>
    <phoneticPr fontId="9" type="noConversion"/>
  </si>
  <si>
    <t>实际读出时间
(Sequential Trigger Mode) Operation章节，表格Parameter List of Global Shutter中的tTGDLY)</t>
    <phoneticPr fontId="9" type="noConversion"/>
  </si>
  <si>
    <t>IF(ExposureTimeMode="Ultra Short",ROUNDUP((pic_height+11+tTGDLY)*tRow/1000,0),pic_height+11+tTGDLY)</t>
    <phoneticPr fontId="9" type="noConversion"/>
  </si>
  <si>
    <t>OffsetX</t>
    <phoneticPr fontId="9" type="noConversion"/>
  </si>
  <si>
    <t>水平偏移</t>
    <phoneticPr fontId="9" type="noConversion"/>
  </si>
  <si>
    <t>OffsetY</t>
    <phoneticPr fontId="9" type="noConversion"/>
  </si>
  <si>
    <t>垂直偏移</t>
    <phoneticPr fontId="9" type="noConversion"/>
  </si>
  <si>
    <t>速率匹配</t>
  </si>
  <si>
    <t>Width</t>
    <phoneticPr fontId="9" type="noConversion"/>
  </si>
  <si>
    <t>图像宽度</t>
    <phoneticPr fontId="9" type="noConversion"/>
  </si>
  <si>
    <t>Speed link</t>
  </si>
  <si>
    <t>铜线端的速率对应的寄存器设置
0-10G
1-5G
2-2.5G
3-1G
固件在PHY芯片寄存器中获取到连接速度之后，将对应的速度设置给FPGA</t>
  </si>
  <si>
    <t>IF(GevLinkSpeed=10000,0,IF(GevLinkSpeed=5000,1,IF(GevLinkSpeed=2500,2,IF(GevLinkSpeed=1000,3,3))))</t>
  </si>
  <si>
    <t>—</t>
  </si>
  <si>
    <t>Height</t>
    <phoneticPr fontId="9" type="noConversion"/>
  </si>
  <si>
    <t>图像高度</t>
    <phoneticPr fontId="9" type="noConversion"/>
  </si>
  <si>
    <t>Host packet gap set clk num</t>
  </si>
  <si>
    <t>用户设置的包间隔转译为gtx时钟个数</t>
  </si>
  <si>
    <t>ChunkModeActive</t>
    <phoneticPr fontId="9" type="noConversion"/>
  </si>
  <si>
    <t>帧信息使能</t>
    <phoneticPr fontId="9" type="noConversion"/>
  </si>
  <si>
    <t>最大包间隔时间（对应铜线端）</t>
  </si>
  <si>
    <t>IF(ROUNDUP(max_gevscpd_byte_num*1000*8/GevLinkSpeed,0)&gt;200000000,200000000,ROUNDUP(max_gevscpd_byte_num*1000*8/GevLinkSpeed,0))</t>
  </si>
  <si>
    <t>序列控制</t>
  </si>
  <si>
    <t>sequencer_configration_mode</t>
    <phoneticPr fontId="9" type="noConversion"/>
  </si>
  <si>
    <t>序列配置模式使能</t>
    <phoneticPr fontId="9" type="noConversion"/>
  </si>
  <si>
    <t>IF((100-ROUNDDOWN(10*frame_size/(125000*GevLinkSpeed),0)-1)&lt;0,0,(100-ROUNDDOWN(10*frame_size/(125000*GevLinkSpeed),0)-1))    GevLinkSpeed=10000</t>
  </si>
  <si>
    <t>sonyimx_readout_time</t>
    <phoneticPr fontId="9" type="noConversion"/>
  </si>
  <si>
    <t>0x100_084c</t>
    <phoneticPr fontId="9" type="noConversion"/>
  </si>
  <si>
    <t>FPGA读出时间寄存器</t>
    <phoneticPr fontId="9" type="noConversion"/>
  </si>
  <si>
    <t>dec2hex(readout_period_time)</t>
    <phoneticPr fontId="9" type="noConversion"/>
  </si>
  <si>
    <t>TriggerWidth模式下曝光时间</t>
    <phoneticPr fontId="9" type="noConversion"/>
  </si>
  <si>
    <t>slave_hmax</t>
    <phoneticPr fontId="9" type="noConversion"/>
  </si>
  <si>
    <t>0x100_0800</t>
    <phoneticPr fontId="9" type="noConversion"/>
  </si>
  <si>
    <t>FPGA行周期</t>
    <phoneticPr fontId="9" type="noConversion"/>
  </si>
  <si>
    <t>clk_sensor 50MHz</t>
    <phoneticPr fontId="9" type="noConversion"/>
  </si>
  <si>
    <t>GevLinkSpeed</t>
    <phoneticPr fontId="9" type="noConversion"/>
  </si>
  <si>
    <t>exp_period_triggerwidth</t>
    <phoneticPr fontId="9" type="noConversion"/>
  </si>
  <si>
    <t>TriggerWidth模式下曝光时间决定的帧周期</t>
    <phoneticPr fontId="9" type="noConversion"/>
  </si>
  <si>
    <t xml:space="preserve">IF((TriggerMode=1)*(ExposureMode="TriggerWidth"),readout_period_time+IF(ROUNDUP((1000*TriggerWidthLength/tRow),0)&gt;exp_overlaptime_maxline_num,ROUNDUP((1000*TriggerWidthLength/tRow),0)-exp_overlaptime_maxline_num,0),"null") </t>
    <phoneticPr fontId="9" type="noConversion"/>
  </si>
  <si>
    <t>slave_exposure_delay</t>
    <phoneticPr fontId="9" type="noConversion"/>
  </si>
  <si>
    <t>0x100_0804</t>
    <phoneticPr fontId="9" type="noConversion"/>
  </si>
  <si>
    <t>FPGA曝光延迟寄存器</t>
    <phoneticPr fontId="9" type="noConversion"/>
  </si>
  <si>
    <t>dec2hex(ExpDelayLine)</t>
    <phoneticPr fontId="9" type="noConversion"/>
  </si>
  <si>
    <t>GevSCPSPacketSize</t>
    <phoneticPr fontId="9" type="noConversion"/>
  </si>
  <si>
    <t>流通道包长(指的是以太网的负载包长 范围:512-16384)该数值包含协议开销综合I，不包II</t>
    <phoneticPr fontId="9" type="noConversion"/>
  </si>
  <si>
    <t>exp_time_triggerwidth</t>
    <phoneticPr fontId="9" type="noConversion"/>
  </si>
  <si>
    <t>TriggerWidth模式下实际曝光时间</t>
    <phoneticPr fontId="9" type="noConversion"/>
  </si>
  <si>
    <t xml:space="preserve">IF((TriggerMode=1)*(ExposureMode="TriggerWidth"),IF(TriggerWidthLength&gt;ExposureOverlapTimeMax,(ROUNDUP((1000*TriggerWidthLength/tRow),0)*tRow+tOFFSET)/1000,(ROUNDUP((1000*ExposureOverlapTimeMax/tRow),0)*tRow+tOFFSET)/1000),"null")  </t>
    <phoneticPr fontId="9" type="noConversion"/>
  </si>
  <si>
    <t>sonyimx_overlap_time_max</t>
    <phoneticPr fontId="9" type="noConversion"/>
  </si>
  <si>
    <t>0x100_0854</t>
    <phoneticPr fontId="9" type="noConversion"/>
  </si>
  <si>
    <t>FPGA交叠曝光最大值寄存器</t>
    <phoneticPr fontId="9" type="noConversion"/>
  </si>
  <si>
    <t>dec2hex(slave_overlap_max)</t>
    <phoneticPr fontId="9" type="noConversion"/>
  </si>
  <si>
    <t>GevSCPD</t>
    <phoneticPr fontId="9" type="noConversion"/>
  </si>
  <si>
    <t>exp_overlaptime_maxline_num</t>
    <phoneticPr fontId="9" type="noConversion"/>
  </si>
  <si>
    <t>交叠曝光时间对应的行数</t>
    <phoneticPr fontId="9" type="noConversion"/>
  </si>
  <si>
    <t>MAX(INT(ExposureOverlapTimeMax*1000/tRow),1)</t>
    <phoneticPr fontId="9" type="noConversion"/>
  </si>
  <si>
    <t>slave_exposure_time</t>
    <phoneticPr fontId="9" type="noConversion"/>
  </si>
  <si>
    <t>0x100_0808</t>
    <phoneticPr fontId="9" type="noConversion"/>
  </si>
  <si>
    <t>FPGA曝光寄存器-time模式</t>
    <phoneticPr fontId="9" type="noConversion"/>
  </si>
  <si>
    <t xml:space="preserve">dec2hex(exp_line_num)
</t>
    <phoneticPr fontId="9" type="noConversion"/>
  </si>
  <si>
    <t>BandwidthReserve</t>
    <phoneticPr fontId="9" type="noConversion"/>
  </si>
  <si>
    <t>极小曝光</t>
    <phoneticPr fontId="9" type="noConversion"/>
  </si>
  <si>
    <t>slave_trigger_interval_cont</t>
    <phoneticPr fontId="9" type="noConversion"/>
  </si>
  <si>
    <t>0x100_080C</t>
    <phoneticPr fontId="9" type="noConversion"/>
  </si>
  <si>
    <t>触发间隔寄存器-连续模式</t>
    <phoneticPr fontId="9" type="noConversion"/>
  </si>
  <si>
    <t>dec2hex(FramePeriod)</t>
    <phoneticPr fontId="9" type="noConversion"/>
  </si>
  <si>
    <t>exp_period_ultrashort</t>
    <phoneticPr fontId="9" type="noConversion"/>
  </si>
  <si>
    <t>极小曝光模式时的曝光时间决定的帧周期</t>
    <phoneticPr fontId="9" type="noConversion"/>
  </si>
  <si>
    <t>xtrig_length+exp_delay_time+readout_time+ROUNDUP(tOFFSET/1000,0)</t>
    <phoneticPr fontId="9" type="noConversion"/>
  </si>
  <si>
    <t>大恒专用帧信息，ME2P系列为48byte（加12bit为多源触发）</t>
  </si>
  <si>
    <t>slave_trigger_interval_single</t>
    <phoneticPr fontId="9" type="noConversion"/>
  </si>
  <si>
    <t>0x100_0844</t>
    <phoneticPr fontId="9" type="noConversion"/>
  </si>
  <si>
    <t>单帧模式下触发间隔寄存器</t>
    <phoneticPr fontId="9" type="noConversion"/>
  </si>
  <si>
    <t>AcquisitionFrameRateMode</t>
    <phoneticPr fontId="9" type="noConversion"/>
  </si>
  <si>
    <t>采集帧率调节模式(0/1)</t>
    <phoneticPr fontId="9" type="noConversion"/>
  </si>
  <si>
    <t>标准曝光模式</t>
    <phoneticPr fontId="9" type="noConversion"/>
  </si>
  <si>
    <t>slave_trigger_interval_trig</t>
    <phoneticPr fontId="9" type="noConversion"/>
  </si>
  <si>
    <t>0x100_0848</t>
    <phoneticPr fontId="9" type="noConversion"/>
  </si>
  <si>
    <t>触发间隔寄存器-触发模式</t>
    <phoneticPr fontId="9" type="noConversion"/>
  </si>
  <si>
    <t>AcquisitionFrameRate</t>
    <phoneticPr fontId="9" type="noConversion"/>
  </si>
  <si>
    <t>帧率控制</t>
    <phoneticPr fontId="9" type="noConversion"/>
  </si>
  <si>
    <t>exp_period_stardard</t>
    <phoneticPr fontId="9" type="noConversion"/>
  </si>
  <si>
    <t>标准曝光模式时的曝光时间决定的帧周期</t>
    <phoneticPr fontId="9" type="noConversion"/>
  </si>
  <si>
    <t>IF(ExposureTime&gt;exp_overlap_th or Horizontal Skipping=2 or Vertical Skipping=2,xtrig_length+exp_delay_line_num+ExpIntMin,xtrig_length+exp_delay_line_num+readout_period_time+2)</t>
    <phoneticPr fontId="9" type="noConversion"/>
  </si>
  <si>
    <t>sonyimx_exposure_mode</t>
    <phoneticPr fontId="9" type="noConversion"/>
  </si>
  <si>
    <t>0x100_0850</t>
    <phoneticPr fontId="9" type="noConversion"/>
  </si>
  <si>
    <t>曝光模式寄存器</t>
    <phoneticPr fontId="9" type="noConversion"/>
  </si>
  <si>
    <t>sensor Skipping</t>
    <phoneticPr fontId="9" type="noConversion"/>
  </si>
  <si>
    <t>burst-帧存参数计算</t>
    <phoneticPr fontId="9" type="noConversion"/>
  </si>
  <si>
    <t>个</t>
    <phoneticPr fontId="9" type="noConversion"/>
  </si>
  <si>
    <t>roi_line_hide</t>
    <phoneticPr fontId="9" type="noConversion"/>
  </si>
  <si>
    <t>0x110_0010</t>
    <phoneticPr fontId="9" type="noConversion"/>
  </si>
  <si>
    <t>水平行消隐寄存器</t>
    <phoneticPr fontId="9" type="noConversion"/>
  </si>
  <si>
    <t>DEC2HEX(hmax/Finck*freq_pix_clk-Width_min/phy num/phy ch num)</t>
    <phoneticPr fontId="9" type="noConversion"/>
  </si>
  <si>
    <t>Horizontal Skipping</t>
    <phoneticPr fontId="9" type="noConversion"/>
  </si>
  <si>
    <t>水平Skipping</t>
    <phoneticPr fontId="9" type="noConversion"/>
  </si>
  <si>
    <t>DDR3_capacity</t>
    <phoneticPr fontId="9" type="noConversion"/>
  </si>
  <si>
    <t>DDR3芯片的容量</t>
    <phoneticPr fontId="9" type="noConversion"/>
  </si>
  <si>
    <t>-</t>
    <phoneticPr fontId="9" type="noConversion"/>
  </si>
  <si>
    <t>Gb</t>
    <phoneticPr fontId="9" type="noConversion"/>
  </si>
  <si>
    <t>param_cfg_done</t>
    <phoneticPr fontId="9" type="noConversion"/>
  </si>
  <si>
    <t>Vertical Skipping</t>
    <phoneticPr fontId="9" type="noConversion"/>
  </si>
  <si>
    <t>垂直Skipping</t>
    <phoneticPr fontId="9" type="noConversion"/>
  </si>
  <si>
    <t>frame_space</t>
    <phoneticPr fontId="9" type="noConversion"/>
  </si>
  <si>
    <t>一帧图像的储存空间，1024的整数倍</t>
    <phoneticPr fontId="9" type="noConversion"/>
  </si>
  <si>
    <t>Byte</t>
    <phoneticPr fontId="9" type="noConversion"/>
  </si>
  <si>
    <t>0x1200100</t>
    <phoneticPr fontId="9" type="noConversion"/>
  </si>
  <si>
    <t>正常包包长寄存器,仅payload部分，不包括ip、udp、gvsp头</t>
    <phoneticPr fontId="9" type="noConversion"/>
  </si>
  <si>
    <t>dec2hex(GevSCPSPacketSize-header_in_payload)</t>
    <phoneticPr fontId="9" type="noConversion"/>
  </si>
  <si>
    <t>上层设置的包间隔以ns为单位，而FPGA中需要寄存器以时钟个数为单位，由于clk_gtx时钟对应的时钟周期为6.4ns，因此将用户设置的包间隔除以6.4之后再上取整即可</t>
    <phoneticPr fontId="9" type="noConversion"/>
  </si>
  <si>
    <t>FPGA binning</t>
    <phoneticPr fontId="9" type="noConversion"/>
  </si>
  <si>
    <t>frame_depth</t>
    <phoneticPr fontId="9" type="noConversion"/>
  </si>
  <si>
    <t>帧存的最大深度</t>
    <phoneticPr fontId="9" type="noConversion"/>
  </si>
  <si>
    <t>packet_gap</t>
    <phoneticPr fontId="9" type="noConversion"/>
  </si>
  <si>
    <t>0x1400080</t>
    <phoneticPr fontId="9" type="noConversion"/>
  </si>
  <si>
    <t>包间隔寄存器</t>
    <phoneticPr fontId="9" type="noConversion"/>
  </si>
  <si>
    <t>dec2hex(host_packet_gap)</t>
    <phoneticPr fontId="9" type="noConversion"/>
  </si>
  <si>
    <t>当网络正常连接且自协商完成后，固件配置IP之后，设置从PHY中读取的网络连接速度给FPGA
0-10G
1-5G
2-2.5G
3-1G</t>
    <phoneticPr fontId="9" type="noConversion"/>
  </si>
  <si>
    <t>Horizontal binning</t>
    <phoneticPr fontId="9" type="noConversion"/>
  </si>
  <si>
    <t>水平binning</t>
    <phoneticPr fontId="9" type="noConversion"/>
  </si>
  <si>
    <t>gev_speed_link</t>
    <phoneticPr fontId="9" type="noConversion"/>
  </si>
  <si>
    <t>0x1400084</t>
    <phoneticPr fontId="9" type="noConversion"/>
  </si>
  <si>
    <t>铜线端速率匹配寄存器</t>
    <phoneticPr fontId="9" type="noConversion"/>
  </si>
  <si>
    <t>dec2hex(speed_link)</t>
    <phoneticPr fontId="9" type="noConversion"/>
  </si>
  <si>
    <t>Vertical binning</t>
    <phoneticPr fontId="9" type="noConversion"/>
  </si>
  <si>
    <t>垂直binning</t>
    <phoneticPr fontId="9" type="noConversion"/>
  </si>
  <si>
    <t>sensor前端带宽</t>
    <phoneticPr fontId="9" type="noConversion"/>
  </si>
  <si>
    <t>s</t>
    <phoneticPr fontId="9" type="noConversion"/>
  </si>
  <si>
    <t>slave_exposure_time_us</t>
    <phoneticPr fontId="9" type="noConversion"/>
  </si>
  <si>
    <t>FPGA曝光寄存器-time模式，单位us</t>
  </si>
  <si>
    <t>dec2hex(xtrig_length_us)</t>
    <phoneticPr fontId="9" type="noConversion"/>
  </si>
  <si>
    <t>DDR后端带宽</t>
    <phoneticPr fontId="9" type="noConversion"/>
  </si>
  <si>
    <t>complete_packet_num*(GevSCPSPacketSize+eth_protocol_byte)+incomplete_packet_num_min*(incomplete_packet_size_min+eth_protocol_byte+header_in_payload)</t>
  </si>
  <si>
    <t>DDR前端剩余带宽</t>
    <phoneticPr fontId="9" type="noConversion"/>
  </si>
  <si>
    <t>DDR前端剩余带宽-sensor前端带宽</t>
    <phoneticPr fontId="9" type="noConversion"/>
  </si>
  <si>
    <t>保证该值＞0</t>
    <phoneticPr fontId="9" type="noConversion"/>
  </si>
  <si>
    <t>sensor前端带宽-DDR剩余后端带宽</t>
    <phoneticPr fontId="9" type="noConversion"/>
  </si>
  <si>
    <t>保证该值几乎=0</t>
    <phoneticPr fontId="9" type="noConversion"/>
  </si>
  <si>
    <t>eth_valid_bandwidth_max</t>
    <phoneticPr fontId="9" type="noConversion"/>
  </si>
  <si>
    <t>int(link_speed*(100)*10/100/8)</t>
    <phoneticPr fontId="9" type="noConversion"/>
  </si>
  <si>
    <t>byte/10s</t>
    <phoneticPr fontId="9" type="noConversion"/>
  </si>
  <si>
    <t>backend_limit_period_time_min</t>
    <phoneticPr fontId="9" type="noConversion"/>
  </si>
  <si>
    <t>最小后端传输限制的帧周期，预留带宽为0，针对突发采集模式高速模式使用。</t>
    <phoneticPr fontId="9" type="noConversion"/>
  </si>
  <si>
    <t>包间隔参数</t>
  </si>
  <si>
    <t>Copper packet gap set byte num</t>
  </si>
  <si>
    <t>用户设置的包间隔转译为铜线端传输对应的字节数</t>
  </si>
  <si>
    <t xml:space="preserve">MAX(ROUNDUP(GevSCPD*GevLinkSpeed/1000/8,0),ifg_min+8)        </t>
  </si>
  <si>
    <t>Byte</t>
  </si>
  <si>
    <t>Max gevSCPD byte num</t>
  </si>
  <si>
    <t>最大包间隔数据量（对应铜线端）</t>
  </si>
  <si>
    <t>ROUNDDOWN((1000000*eth_valid_bandwidth-(frame_packet_size+leader_packet_size+trailer_packet_size))/(complete_packet_num+incomplete_packet_num+2),0)</t>
  </si>
  <si>
    <t>The current parameter is not within the range:[8,'WidthMax'], please enter again</t>
    <phoneticPr fontId="9" type="noConversion"/>
  </si>
  <si>
    <t>error message;</t>
    <phoneticPr fontId="9" type="noConversion"/>
  </si>
  <si>
    <t>The frame rate calculated by the parameters in the current frame rate calculation table may be abnormal, please modify the parameters according to the prompt</t>
    <phoneticPr fontId="9" type="noConversion"/>
  </si>
  <si>
    <t>DecimationHorizontal</t>
    <phoneticPr fontId="9" type="noConversion"/>
  </si>
  <si>
    <t>DecimationVertical</t>
    <phoneticPr fontId="9" type="noConversion"/>
  </si>
  <si>
    <t>DecimationHorizontal and DecimationVertical must be consistent</t>
    <phoneticPr fontId="9" type="noConversion"/>
  </si>
  <si>
    <t>Frame rate calculation is correct:</t>
    <phoneticPr fontId="9" type="noConversion"/>
  </si>
  <si>
    <t>The current parameter is not within the range:[8,'HeightMax'], please enter again</t>
    <phoneticPr fontId="9" type="noConversion"/>
  </si>
  <si>
    <t>1、add MER3-1221-24G3X-P、MER3-800-36G3X-P、MER3-506-58G3X-P</t>
    <phoneticPr fontId="9" type="noConversion"/>
  </si>
  <si>
    <r>
      <t>202</t>
    </r>
    <r>
      <rPr>
        <sz val="11"/>
        <color theme="1"/>
        <rFont val="宋体"/>
        <family val="3"/>
        <charset val="134"/>
        <scheme val="minor"/>
      </rPr>
      <t>3</t>
    </r>
    <r>
      <rPr>
        <sz val="11"/>
        <color theme="1"/>
        <rFont val="宋体"/>
        <family val="3"/>
        <charset val="134"/>
        <scheme val="minor"/>
      </rPr>
      <t>.</t>
    </r>
    <r>
      <rPr>
        <sz val="11"/>
        <color theme="1"/>
        <rFont val="宋体"/>
        <family val="3"/>
        <charset val="134"/>
        <scheme val="minor"/>
      </rPr>
      <t>11</t>
    </r>
    <r>
      <rPr>
        <sz val="11"/>
        <color theme="1"/>
        <rFont val="宋体"/>
        <family val="3"/>
        <charset val="134"/>
        <scheme val="minor"/>
      </rPr>
      <t>.</t>
    </r>
    <r>
      <rPr>
        <sz val="11"/>
        <color theme="1"/>
        <rFont val="宋体"/>
        <family val="3"/>
        <charset val="134"/>
        <scheme val="minor"/>
      </rPr>
      <t>14</t>
    </r>
    <phoneticPr fontId="9" type="noConversion"/>
  </si>
  <si>
    <t>PixelFormat(8/12/RGB8/BGR8)</t>
    <phoneticPr fontId="9" type="noConversion"/>
  </si>
  <si>
    <t>PixelFormat(8/12/RGB8/BGR8)</t>
    <phoneticPr fontId="9" type="noConversion"/>
  </si>
  <si>
    <t>PixelFormat(8/12/RGB8/BGR8)</t>
    <phoneticPr fontId="9" type="noConversion"/>
  </si>
  <si>
    <r>
      <t>1.0.</t>
    </r>
    <r>
      <rPr>
        <sz val="11"/>
        <color theme="1"/>
        <rFont val="宋体"/>
        <family val="3"/>
        <charset val="134"/>
        <scheme val="minor"/>
      </rPr>
      <t>1</t>
    </r>
    <phoneticPr fontId="9" type="noConversion"/>
  </si>
  <si>
    <t>1、modify the line cycle section of MER3-1221-24G3X-P、MER3-800-36G3X-P、MER3-506-58G3X-P</t>
    <phoneticPr fontId="9" type="noConversion"/>
  </si>
  <si>
    <t>2023.12.13</t>
    <phoneticPr fontId="9" type="noConversion"/>
  </si>
  <si>
    <t>1.0.2</t>
    <phoneticPr fontId="9" type="noConversion"/>
  </si>
  <si>
    <t>2024.4.3</t>
    <phoneticPr fontId="9" type="noConversion"/>
  </si>
  <si>
    <t>1、add MER3-810-36G3M-P-UV
2、Modify the Vbmin parameter</t>
    <phoneticPr fontId="9" type="noConversion"/>
  </si>
  <si>
    <t>参见映射关系表</t>
    <phoneticPr fontId="9" type="noConversion"/>
  </si>
  <si>
    <t>mer3-801-36g3m-p-uv</t>
    <phoneticPr fontId="9" type="noConversion"/>
  </si>
  <si>
    <t>imx487</t>
    <phoneticPr fontId="9" type="noConversion"/>
  </si>
  <si>
    <t>IF(ExposureTimeMode="Ultra Short",（exp_time+exp_delay+4*tRow/1000+GMRWT+5）,(exp_time+exp_delay+(GMRWT+5+4)*tRow/1000))（需注意闪光灯时间与GMRWT相关）</t>
    <phoneticPr fontId="9" type="noConversion"/>
  </si>
  <si>
    <t>us</t>
    <phoneticPr fontId="9" type="noConversion"/>
  </si>
  <si>
    <t>水平偏移</t>
    <phoneticPr fontId="9" type="noConversion"/>
  </si>
  <si>
    <t>Height</t>
    <phoneticPr fontId="9" type="noConversion"/>
  </si>
  <si>
    <t>图像高度</t>
    <phoneticPr fontId="9" type="noConversion"/>
  </si>
  <si>
    <t>ROUNDUP(GevSCPD*gtx_clock_frequency/4000,0)</t>
    <phoneticPr fontId="9" type="noConversion"/>
  </si>
  <si>
    <t>ROUNDUP(GevSCPD*gtx_clock_frequency/4000,0)</t>
    <phoneticPr fontId="9" type="noConversion"/>
  </si>
  <si>
    <t>0x100_0800</t>
    <phoneticPr fontId="9" type="noConversion"/>
  </si>
  <si>
    <t>GevLinkSpeed</t>
    <phoneticPr fontId="9" type="noConversion"/>
  </si>
  <si>
    <t>网络连接速度</t>
    <phoneticPr fontId="9" type="noConversion"/>
  </si>
  <si>
    <t xml:space="preserve">IF((TriggerMode=1)*(ExposureMode="TriggerWidth"),readout_period_time+IF(ROUNDUP((1000*TriggerWidthLength/tRow),0)&gt;exp_overlaptime_maxline_num,ROUNDUP((1000*TriggerWidthLength/tRow),0)-exp_overlaptime_maxline_num,0),"null") </t>
    <phoneticPr fontId="9" type="noConversion"/>
  </si>
  <si>
    <t>slave_exposure_delay</t>
    <phoneticPr fontId="9" type="noConversion"/>
  </si>
  <si>
    <t>BandwidthReserve</t>
    <phoneticPr fontId="9" type="noConversion"/>
  </si>
  <si>
    <t>exp_period_stardard</t>
    <phoneticPr fontId="9" type="noConversion"/>
  </si>
  <si>
    <t>burst-帧存参数计算</t>
    <phoneticPr fontId="9" type="noConversion"/>
  </si>
  <si>
    <t>个</t>
    <phoneticPr fontId="9" type="noConversion"/>
  </si>
  <si>
    <t>DEC2HEX(hmax/Finck*freq_pix_clk-Width_min/phy num/phy ch num)</t>
    <phoneticPr fontId="9" type="noConversion"/>
  </si>
  <si>
    <t>param_cfg_done</t>
    <phoneticPr fontId="9" type="noConversion"/>
  </si>
  <si>
    <t>-</t>
    <phoneticPr fontId="9" type="noConversion"/>
  </si>
  <si>
    <t>packet_length</t>
    <phoneticPr fontId="9" type="noConversion"/>
  </si>
  <si>
    <t>dec2hex(GevSCPSPacketSize-header_in_payload)</t>
    <phoneticPr fontId="9" type="noConversion"/>
  </si>
  <si>
    <t>FPGA binning</t>
    <phoneticPr fontId="9" type="noConversion"/>
  </si>
  <si>
    <t>0x1400080</t>
    <phoneticPr fontId="9" type="noConversion"/>
  </si>
  <si>
    <t>包间隔寄存器</t>
    <phoneticPr fontId="9" type="noConversion"/>
  </si>
  <si>
    <t>dec2hex(host_packet_gap)</t>
    <phoneticPr fontId="9" type="noConversion"/>
  </si>
  <si>
    <t>当网络正常连接且自协商完成后，固件配置IP之后，设置从PHY中读取的网络连接速度给FPGA
0-10G
1-5G
2-2.5G
3-1G</t>
    <phoneticPr fontId="9" type="noConversion"/>
  </si>
  <si>
    <t>Horizontal binning</t>
    <phoneticPr fontId="9" type="noConversion"/>
  </si>
  <si>
    <t>dec2hex(speed_link)</t>
    <phoneticPr fontId="9" type="noConversion"/>
  </si>
  <si>
    <t>Vertical binning</t>
    <phoneticPr fontId="9" type="noConversion"/>
  </si>
  <si>
    <t>0x100_07F0</t>
    <phoneticPr fontId="9" type="noConversion"/>
  </si>
  <si>
    <t>dec2hex(xtrig_length_us)</t>
    <phoneticPr fontId="9" type="noConversion"/>
  </si>
  <si>
    <t>sensor binning</t>
    <phoneticPr fontId="9" type="noConversion"/>
  </si>
  <si>
    <t>eth_valid_bandwidth_max</t>
    <phoneticPr fontId="9" type="noConversion"/>
  </si>
  <si>
    <t>最大以太网有效传输带宽，预留带宽为0，针对突发采集模式高速模式使用。</t>
    <phoneticPr fontId="9" type="noConversion"/>
  </si>
  <si>
    <t>int(link_speed*(100)*10/100/8)</t>
    <phoneticPr fontId="9" type="noConversion"/>
  </si>
  <si>
    <t>byte/10s</t>
    <phoneticPr fontId="9" type="noConversion"/>
  </si>
  <si>
    <t>backend_limit_period_time_min</t>
    <phoneticPr fontId="9" type="noConversion"/>
  </si>
  <si>
    <t>最小后端传输限制的帧周期，预留带宽为0，针对突发采集模式高速模式使用。</t>
    <phoneticPr fontId="9" type="noConversion"/>
  </si>
  <si>
    <t>me2s-2020</t>
    <phoneticPr fontId="9" type="noConversion"/>
  </si>
  <si>
    <t>两次曝光间隔最小值
(手册Global Shutter (Sequential Trigger Mode) Operation章节，表格Parameter List of Global Shutter中的tTGES+1)</t>
    <phoneticPr fontId="9" type="noConversion"/>
  </si>
  <si>
    <t>ChunkModeActive</t>
    <phoneticPr fontId="9" type="noConversion"/>
  </si>
  <si>
    <t>dec2hex(readout_period_time)</t>
    <phoneticPr fontId="9" type="noConversion"/>
  </si>
  <si>
    <t>FPGA行周期</t>
    <phoneticPr fontId="9" type="noConversion"/>
  </si>
  <si>
    <t>0x100_0804</t>
    <phoneticPr fontId="9" type="noConversion"/>
  </si>
  <si>
    <t>GevSCPSPacketSize</t>
    <phoneticPr fontId="9" type="noConversion"/>
  </si>
  <si>
    <t>sonyimx_overlap_time_max</t>
    <phoneticPr fontId="9" type="noConversion"/>
  </si>
  <si>
    <t>FPGA交叠曝光最大值寄存器</t>
    <phoneticPr fontId="9" type="noConversion"/>
  </si>
  <si>
    <t>GevSCPD</t>
    <phoneticPr fontId="9" type="noConversion"/>
  </si>
  <si>
    <t>exp_overlaptime_maxline_num</t>
    <phoneticPr fontId="9" type="noConversion"/>
  </si>
  <si>
    <t>交叠曝光时间对应的行数</t>
    <phoneticPr fontId="9" type="noConversion"/>
  </si>
  <si>
    <t>line</t>
    <phoneticPr fontId="9" type="noConversion"/>
  </si>
  <si>
    <t>0x100_0808</t>
    <phoneticPr fontId="9" type="noConversion"/>
  </si>
  <si>
    <t>FPGA曝光寄存器-time模式</t>
    <phoneticPr fontId="9" type="noConversion"/>
  </si>
  <si>
    <t xml:space="preserve">dec2hex(exp_line_num)
</t>
    <phoneticPr fontId="9" type="noConversion"/>
  </si>
  <si>
    <t>极小曝光</t>
    <phoneticPr fontId="9" type="noConversion"/>
  </si>
  <si>
    <t>slave_trigger_interval_cont</t>
    <phoneticPr fontId="9" type="noConversion"/>
  </si>
  <si>
    <t>0x100_080C</t>
    <phoneticPr fontId="9" type="noConversion"/>
  </si>
  <si>
    <t>dec2hex(FramePeriod)</t>
    <phoneticPr fontId="9" type="noConversion"/>
  </si>
  <si>
    <t>单帧模式下触发间隔寄存器</t>
    <phoneticPr fontId="9" type="noConversion"/>
  </si>
  <si>
    <t>采集帧率调节模式(0/1)</t>
    <phoneticPr fontId="9" type="noConversion"/>
  </si>
  <si>
    <t>标准曝光模式</t>
    <phoneticPr fontId="9" type="noConversion"/>
  </si>
  <si>
    <t>AcquisitionFrameRate</t>
    <phoneticPr fontId="9" type="noConversion"/>
  </si>
  <si>
    <t>标准曝光模式时的曝光时间决定的帧周期</t>
    <phoneticPr fontId="9" type="noConversion"/>
  </si>
  <si>
    <t>IF(ExposureTime&gt;exp_overlap_th or Horizontal Skipping=2 or Vertical Skipping=2,xtrig_length+exp_delay_line_num+ExpIntMin,xtrig_length+exp_delay_line_num+readout_period_time+2)</t>
    <phoneticPr fontId="9" type="noConversion"/>
  </si>
  <si>
    <t>0x100_0850</t>
    <phoneticPr fontId="9" type="noConversion"/>
  </si>
  <si>
    <t>sensor Skipping</t>
    <phoneticPr fontId="9" type="noConversion"/>
  </si>
  <si>
    <t>水平行消隐寄存器</t>
    <phoneticPr fontId="9" type="noConversion"/>
  </si>
  <si>
    <t>Horizontal Skipping</t>
    <phoneticPr fontId="9" type="noConversion"/>
  </si>
  <si>
    <t>-</t>
    <phoneticPr fontId="9" type="noConversion"/>
  </si>
  <si>
    <t>Byte</t>
    <phoneticPr fontId="9" type="noConversion"/>
  </si>
  <si>
    <t>0x1200100</t>
    <phoneticPr fontId="9" type="noConversion"/>
  </si>
  <si>
    <t>水平binning</t>
    <phoneticPr fontId="9" type="noConversion"/>
  </si>
  <si>
    <t>垂直binning</t>
    <phoneticPr fontId="9" type="noConversion"/>
  </si>
  <si>
    <t>sensor前端带宽</t>
    <phoneticPr fontId="9" type="noConversion"/>
  </si>
  <si>
    <t>3.Master Clock (KHz)</t>
    <phoneticPr fontId="9" type="noConversion"/>
  </si>
  <si>
    <t>19.Default exposureTime</t>
    <phoneticPr fontId="9" type="noConversion"/>
  </si>
  <si>
    <t>21.Default pic_height</t>
    <phoneticPr fontId="9" type="noConversion"/>
  </si>
  <si>
    <t>24.OB行</t>
    <phoneticPr fontId="9" type="noConversion"/>
  </si>
  <si>
    <t>28.HMAX(75MHz)</t>
    <phoneticPr fontId="9" type="noConversion"/>
  </si>
  <si>
    <t>me2s-2440</t>
    <phoneticPr fontId="9" type="noConversion"/>
  </si>
  <si>
    <t>img_row_time</t>
    <phoneticPr fontId="9" type="noConversion"/>
  </si>
  <si>
    <t>ROUNDUP(1000000*hmax/Finck),0)</t>
    <phoneticPr fontId="9" type="noConversion"/>
  </si>
  <si>
    <t>KHz</t>
    <phoneticPr fontId="9" type="noConversion"/>
  </si>
  <si>
    <t>imx545</t>
    <phoneticPr fontId="9" type="noConversion"/>
  </si>
  <si>
    <t>margin_y</t>
    <phoneticPr fontId="9" type="noConversion"/>
  </si>
  <si>
    <t>imx547</t>
    <phoneticPr fontId="9" type="noConversion"/>
  </si>
  <si>
    <t>bandwidth_limit_period_time（在突发采集现在“HeightSpeed”时，不考虑预留带宽）</t>
    <phoneticPr fontId="9" type="noConversion"/>
  </si>
  <si>
    <t>曝光时间误差
(手册Global Shutter (Sequential Trigger Mode) Operation章节，Exposuretime[s]公式最后一个参数)</t>
    <phoneticPr fontId="9" type="noConversion"/>
  </si>
  <si>
    <t>曝光信号实际长度</t>
    <phoneticPr fontId="9" type="noConversion"/>
  </si>
  <si>
    <t>xtrig_length_us</t>
    <phoneticPr fontId="9" type="noConversion"/>
  </si>
  <si>
    <t>triggercache</t>
    <phoneticPr fontId="9" type="noConversion"/>
  </si>
  <si>
    <t>触发缓存</t>
    <phoneticPr fontId="9" type="noConversion"/>
  </si>
  <si>
    <t>strobe_time</t>
    <phoneticPr fontId="9" type="noConversion"/>
  </si>
  <si>
    <t>极小曝光时，闪光灯维持时间至少比曝光时间要展宽4us；普通曝光时，闪光灯维持时间至少比曝光时间要展宽4个行周期</t>
    <phoneticPr fontId="9" type="noConversion"/>
  </si>
  <si>
    <t>IF(ExposureTimeMode="Ultra Short",（exp_time+exp_delay+4*tRow/1000+GMRWT+5）,(exp_time+exp_delay+(GMRWT+5+4)*tRow/1000))（需注意闪光灯时间与GMRWT相关）</t>
    <phoneticPr fontId="9" type="noConversion"/>
  </si>
  <si>
    <t>us</t>
    <phoneticPr fontId="9" type="noConversion"/>
  </si>
  <si>
    <t>OB</t>
    <phoneticPr fontId="9" type="noConversion"/>
  </si>
  <si>
    <t>OB行数</t>
    <phoneticPr fontId="9" type="noConversion"/>
  </si>
  <si>
    <t>AcquisitionBurstMode</t>
    <phoneticPr fontId="9" type="noConversion"/>
  </si>
  <si>
    <t>Standard</t>
    <phoneticPr fontId="9" type="noConversion"/>
  </si>
  <si>
    <t>readout_time</t>
    <phoneticPr fontId="9" type="noConversion"/>
  </si>
  <si>
    <t>IF(ExposureTimeMode="Ultra Short",ROUNDUP((pic_height+11+tTGDLY)*tRow/1000,0),pic_height+11+tTGDLY)</t>
    <phoneticPr fontId="9" type="noConversion"/>
  </si>
  <si>
    <t>OffsetX</t>
    <phoneticPr fontId="9" type="noConversion"/>
  </si>
  <si>
    <t>OffsetY</t>
    <phoneticPr fontId="9" type="noConversion"/>
  </si>
  <si>
    <t>垂直偏移</t>
    <phoneticPr fontId="9" type="noConversion"/>
  </si>
  <si>
    <t>Width</t>
    <phoneticPr fontId="9" type="noConversion"/>
  </si>
  <si>
    <t>图像宽度</t>
    <phoneticPr fontId="9" type="noConversion"/>
  </si>
  <si>
    <t>帧信息使能</t>
    <phoneticPr fontId="9" type="noConversion"/>
  </si>
  <si>
    <t>sequencer_configration_mode</t>
    <phoneticPr fontId="9" type="noConversion"/>
  </si>
  <si>
    <t>序列配置模式使能</t>
    <phoneticPr fontId="9" type="noConversion"/>
  </si>
  <si>
    <t>sonyimx_readout_time</t>
    <phoneticPr fontId="9" type="noConversion"/>
  </si>
  <si>
    <t>0x100_084c</t>
    <phoneticPr fontId="9" type="noConversion"/>
  </si>
  <si>
    <t>FPGA读出时间寄存器</t>
    <phoneticPr fontId="9" type="noConversion"/>
  </si>
  <si>
    <t>TriggerWidth模式下曝光时间</t>
    <phoneticPr fontId="9" type="noConversion"/>
  </si>
  <si>
    <t>slave_hmax</t>
    <phoneticPr fontId="9" type="noConversion"/>
  </si>
  <si>
    <t>0x100_0800</t>
    <phoneticPr fontId="9" type="noConversion"/>
  </si>
  <si>
    <t>dec2hex(hmax)</t>
    <phoneticPr fontId="9" type="noConversion"/>
  </si>
  <si>
    <t>clk_sensor 50MHz</t>
    <phoneticPr fontId="9" type="noConversion"/>
  </si>
  <si>
    <t>exp_period_triggerwidth</t>
    <phoneticPr fontId="9" type="noConversion"/>
  </si>
  <si>
    <t>TriggerWidth模式下曝光时间决定的帧周期</t>
    <phoneticPr fontId="9" type="noConversion"/>
  </si>
  <si>
    <t>FPGA曝光延迟寄存器</t>
    <phoneticPr fontId="9" type="noConversion"/>
  </si>
  <si>
    <t>dec2hex(ExpDelayLine)</t>
    <phoneticPr fontId="9" type="noConversion"/>
  </si>
  <si>
    <t>流通道包长(指的是以太网的负载包长 范围:512-16384)该数值包含协议开销综合I，不包II</t>
    <phoneticPr fontId="9" type="noConversion"/>
  </si>
  <si>
    <t>exp_time_triggerwidth</t>
    <phoneticPr fontId="9" type="noConversion"/>
  </si>
  <si>
    <t>TriggerWidth模式下实际曝光时间</t>
    <phoneticPr fontId="9" type="noConversion"/>
  </si>
  <si>
    <t xml:space="preserve">IF((TriggerMode=1)*(ExposureMode="TriggerWidth"),IF(TriggerWidthLength&gt;ExposureOverlapTimeMax,(ROUNDUP((1000*TriggerWidthLength/tRow),0)*tRow+tOFFSET)/1000,(ROUNDUP((1000*ExposureOverlapTimeMax/tRow),0)*tRow+tOFFSET)/1000),"null")  </t>
    <phoneticPr fontId="9" type="noConversion"/>
  </si>
  <si>
    <t>0x100_0854</t>
    <phoneticPr fontId="9" type="noConversion"/>
  </si>
  <si>
    <t>FPGA交叠曝光最大值寄存器</t>
    <phoneticPr fontId="9" type="noConversion"/>
  </si>
  <si>
    <t>dec2hex(slave_overlap_max)</t>
    <phoneticPr fontId="9" type="noConversion"/>
  </si>
  <si>
    <t>MAX(INT(ExposureOverlapTimeMax*1000/tRow),1)</t>
    <phoneticPr fontId="9" type="noConversion"/>
  </si>
  <si>
    <t>slave_exposure_time</t>
    <phoneticPr fontId="9" type="noConversion"/>
  </si>
  <si>
    <t>触发间隔寄存器-连续模式</t>
    <phoneticPr fontId="9" type="noConversion"/>
  </si>
  <si>
    <t>exp_period_ultrashort</t>
    <phoneticPr fontId="9" type="noConversion"/>
  </si>
  <si>
    <t>极小曝光模式时的曝光时间决定的帧周期</t>
    <phoneticPr fontId="9" type="noConversion"/>
  </si>
  <si>
    <t>xtrig_length+exp_delay_time+readout_time+ROUNDUP(tOFFSET/1000,0)</t>
    <phoneticPr fontId="9" type="noConversion"/>
  </si>
  <si>
    <t>slave_trigger_interval_single</t>
    <phoneticPr fontId="9" type="noConversion"/>
  </si>
  <si>
    <t>0x100_0844</t>
    <phoneticPr fontId="9" type="noConversion"/>
  </si>
  <si>
    <t>AcquisitionFrameRateMode</t>
    <phoneticPr fontId="9" type="noConversion"/>
  </si>
  <si>
    <t>slave_trigger_interval_trig</t>
    <phoneticPr fontId="9" type="noConversion"/>
  </si>
  <si>
    <t>0x100_0848</t>
    <phoneticPr fontId="9" type="noConversion"/>
  </si>
  <si>
    <t>触发间隔寄存器-触发模式</t>
    <phoneticPr fontId="9" type="noConversion"/>
  </si>
  <si>
    <t>帧率控制</t>
    <phoneticPr fontId="9" type="noConversion"/>
  </si>
  <si>
    <t>sonyimx_exposure_mode</t>
    <phoneticPr fontId="9" type="noConversion"/>
  </si>
  <si>
    <t>曝光模式寄存器</t>
    <phoneticPr fontId="9" type="noConversion"/>
  </si>
  <si>
    <t>roi_line_hide</t>
    <phoneticPr fontId="9" type="noConversion"/>
  </si>
  <si>
    <t>0x110_0010</t>
    <phoneticPr fontId="9" type="noConversion"/>
  </si>
  <si>
    <t>水平Skipping</t>
    <phoneticPr fontId="9" type="noConversion"/>
  </si>
  <si>
    <t>DDR3_capacity</t>
    <phoneticPr fontId="9" type="noConversion"/>
  </si>
  <si>
    <t>DDR3芯片的容量</t>
    <phoneticPr fontId="9" type="noConversion"/>
  </si>
  <si>
    <t>Gb</t>
    <phoneticPr fontId="9" type="noConversion"/>
  </si>
  <si>
    <t>Vertical Skipping</t>
    <phoneticPr fontId="9" type="noConversion"/>
  </si>
  <si>
    <t>垂直Skipping</t>
    <phoneticPr fontId="9" type="noConversion"/>
  </si>
  <si>
    <t>frame_space</t>
    <phoneticPr fontId="9" type="noConversion"/>
  </si>
  <si>
    <t>一帧图像的储存空间，1024的整数倍</t>
    <phoneticPr fontId="9" type="noConversion"/>
  </si>
  <si>
    <t>个</t>
    <phoneticPr fontId="9" type="noConversion"/>
  </si>
  <si>
    <t>packet_length</t>
    <phoneticPr fontId="9" type="noConversion"/>
  </si>
  <si>
    <t>正常包包长寄存器,仅payload部分，不包括ip、udp、gvsp头</t>
    <phoneticPr fontId="9" type="noConversion"/>
  </si>
  <si>
    <t>上层设置的包间隔以ns为单位，而FPGA中需要寄存器以时钟个数为单位，由于clk_gtx时钟对应的时钟周期为6.4ns，因此将用户设置的包间隔除以6.4之后再上取整即可</t>
    <phoneticPr fontId="9" type="noConversion"/>
  </si>
  <si>
    <t>FPGA binning</t>
    <phoneticPr fontId="9" type="noConversion"/>
  </si>
  <si>
    <t>frame_depth</t>
    <phoneticPr fontId="9" type="noConversion"/>
  </si>
  <si>
    <t>帧存的最大深度</t>
    <phoneticPr fontId="9" type="noConversion"/>
  </si>
  <si>
    <t>packet_gap</t>
    <phoneticPr fontId="9" type="noConversion"/>
  </si>
  <si>
    <t>包间隔寄存器</t>
    <phoneticPr fontId="9" type="noConversion"/>
  </si>
  <si>
    <t>dec2hex(host_packet_gap)</t>
    <phoneticPr fontId="9" type="noConversion"/>
  </si>
  <si>
    <t>Horizontal binning</t>
    <phoneticPr fontId="9" type="noConversion"/>
  </si>
  <si>
    <t>gev_speed_link</t>
    <phoneticPr fontId="9" type="noConversion"/>
  </si>
  <si>
    <t>0x1400084</t>
    <phoneticPr fontId="9" type="noConversion"/>
  </si>
  <si>
    <t>铜线端速率匹配寄存器</t>
    <phoneticPr fontId="9" type="noConversion"/>
  </si>
  <si>
    <t>Vertical binning</t>
    <phoneticPr fontId="9" type="noConversion"/>
  </si>
  <si>
    <t>s</t>
    <phoneticPr fontId="9" type="noConversion"/>
  </si>
  <si>
    <t>slave_exposure_time_us</t>
    <phoneticPr fontId="9" type="noConversion"/>
  </si>
  <si>
    <t>0x100_07F0</t>
    <phoneticPr fontId="9" type="noConversion"/>
  </si>
  <si>
    <t>dec2hex(xtrig_length_us)</t>
    <phoneticPr fontId="9" type="noConversion"/>
  </si>
  <si>
    <t>sensor binning</t>
    <phoneticPr fontId="9" type="noConversion"/>
  </si>
  <si>
    <t>DDR后端带宽</t>
    <phoneticPr fontId="9" type="noConversion"/>
  </si>
  <si>
    <t>DDR前端剩余带宽</t>
    <phoneticPr fontId="9" type="noConversion"/>
  </si>
  <si>
    <t>垂直binning</t>
    <phoneticPr fontId="9" type="noConversion"/>
  </si>
  <si>
    <t>DDR前端剩余带宽-sensor前端带宽</t>
    <phoneticPr fontId="9" type="noConversion"/>
  </si>
  <si>
    <t>保证该值＞0</t>
    <phoneticPr fontId="9" type="noConversion"/>
  </si>
  <si>
    <t>sensor前端带宽-DDR剩余后端带宽</t>
    <phoneticPr fontId="9" type="noConversion"/>
  </si>
  <si>
    <t>保证该值几乎=0</t>
    <phoneticPr fontId="9" type="noConversion"/>
  </si>
  <si>
    <t>me2s-806</t>
    <phoneticPr fontId="9" type="noConversion"/>
  </si>
  <si>
    <t>动态位深</t>
    <phoneticPr fontId="9" type="noConversion"/>
  </si>
  <si>
    <t>3.Master Clock (KHz)</t>
    <phoneticPr fontId="9" type="noConversion"/>
  </si>
  <si>
    <t>14.Vbmin</t>
    <phoneticPr fontId="9" type="noConversion"/>
  </si>
  <si>
    <t>15.ExpIntMin</t>
    <phoneticPr fontId="9" type="noConversion"/>
  </si>
  <si>
    <t>17.tTGDLY</t>
    <phoneticPr fontId="9" type="noConversion"/>
  </si>
  <si>
    <t>20.Default pic_width</t>
    <phoneticPr fontId="9" type="noConversion"/>
  </si>
  <si>
    <t>21.Default pic_height</t>
    <phoneticPr fontId="9" type="noConversion"/>
  </si>
  <si>
    <t>22.Default FrameRate</t>
    <phoneticPr fontId="9" type="noConversion"/>
  </si>
  <si>
    <t>25.FPGA platform</t>
    <phoneticPr fontId="9" type="noConversion"/>
  </si>
  <si>
    <t>26.sensor_config_time</t>
    <phoneticPr fontId="9" type="noConversion"/>
  </si>
  <si>
    <t>me2s-2440</t>
    <phoneticPr fontId="9" type="noConversion"/>
  </si>
  <si>
    <t>像素格式(8/12)</t>
    <phoneticPr fontId="9" type="noConversion"/>
  </si>
  <si>
    <t>A7</t>
    <phoneticPr fontId="9" type="noConversion"/>
  </si>
  <si>
    <t>img_row_time</t>
    <phoneticPr fontId="9" type="noConversion"/>
  </si>
  <si>
    <t>ROUNDUP(1000000*hmax/Finck),0)</t>
    <phoneticPr fontId="9" type="noConversion"/>
  </si>
  <si>
    <t>me2s-2020</t>
    <phoneticPr fontId="9" type="noConversion"/>
  </si>
  <si>
    <t>像素格式(8/12)</t>
    <phoneticPr fontId="9" type="noConversion"/>
  </si>
  <si>
    <t>A7</t>
    <phoneticPr fontId="9" type="noConversion"/>
  </si>
  <si>
    <t xml:space="preserve">IF(ExposureTimeMode="Ultra Short"）
IF(TriggerMode=1,ROUNDUP(MAX(readout_period_time,exp_period_time,fps_limit_period_time),0),ROUNDUP(MAX(readout_period_time,exp_period_time,fps_limit_period_time,tp_limit_period_time),0))
else
IF(TriggerMode=1,IF(ExposureMode="TriggerWidth",ROUNDUP(MAX(readout_period_time,exp_period_triggerwidth,fps_limit_period_time)*img_row_time/1000,0),ROUNDUP(MAX(readout_period_time,exp_period_time,fps_limit_period_time)*img_row_time/1000,0)),IF(triggercache=0,ROUNDUP(MAX(readout_period_time,exp_period_time,fps_limit_period_time)*img_row_time/1000,0),ROUNDUP(MAX(readout_period_time,exp_period_time,fps_limit_period_time,tp_limit_period_time)*img_row_time/1000,0)ROUNDUP(MAX(readout_period_time,exp_period_time,fps_limit_period_time,tp_limit_period_time)*img_row_time/1000,0))
</t>
    <phoneticPr fontId="9" type="noConversion"/>
  </si>
  <si>
    <t>Finck</t>
    <phoneticPr fontId="9" type="noConversion"/>
  </si>
  <si>
    <t>me2s-1610</t>
    <phoneticPr fontId="9" type="noConversion"/>
  </si>
  <si>
    <t>参见映射关系表</t>
    <phoneticPr fontId="9" type="noConversion"/>
  </si>
  <si>
    <t>me2s-1221</t>
    <phoneticPr fontId="9" type="noConversion"/>
  </si>
  <si>
    <t>imx545</t>
    <phoneticPr fontId="9" type="noConversion"/>
  </si>
  <si>
    <t>有效像素边界
(手册Pixel Arrangement章节，图示)</t>
    <phoneticPr fontId="9" type="noConversion"/>
  </si>
  <si>
    <t>参见映射关系表</t>
    <phoneticPr fontId="9" type="noConversion"/>
  </si>
  <si>
    <t>line</t>
    <phoneticPr fontId="9" type="noConversion"/>
  </si>
  <si>
    <t>exposureMode</t>
    <phoneticPr fontId="9" type="noConversion"/>
  </si>
  <si>
    <t>imx546</t>
    <phoneticPr fontId="9" type="noConversion"/>
  </si>
  <si>
    <t>ExposureTimeMode</t>
    <phoneticPr fontId="9" type="noConversion"/>
  </si>
  <si>
    <t>曝光时间模式</t>
    <phoneticPr fontId="9" type="noConversion"/>
  </si>
  <si>
    <t>极小曝光模式时的sensorHMAX值，用于计算极小曝光模式下的行周期和帧周期</t>
    <phoneticPr fontId="9" type="noConversion"/>
  </si>
  <si>
    <t>曝光时间</t>
    <phoneticPr fontId="9" type="noConversion"/>
  </si>
  <si>
    <t>Vbmin</t>
    <phoneticPr fontId="9" type="noConversion"/>
  </si>
  <si>
    <t>最小帧消隐行数
(手册Global Shutter (Sequential Trigger Mode) Operation章节，VTR公式最后一个参数)</t>
    <phoneticPr fontId="9" type="noConversion"/>
  </si>
  <si>
    <t>bandwidth_limit_period_time（在突发采集现在“HeightSpeed”时，不考虑预留带宽）</t>
    <phoneticPr fontId="9" type="noConversion"/>
  </si>
  <si>
    <t>ExpIntMin</t>
    <phoneticPr fontId="9" type="noConversion"/>
  </si>
  <si>
    <t>两次曝光间隔最小值
(手册Global Shutter (Sequential Trigger Mode) Operation章节，表格Parameter List of Global Shutter中的tTGES+1)</t>
    <phoneticPr fontId="9" type="noConversion"/>
  </si>
  <si>
    <t>us</t>
    <phoneticPr fontId="9" type="noConversion"/>
  </si>
  <si>
    <t>TriggerWidth模式下触发信号长度（demo上没有此项设置，在调试时方便计算帧周期）</t>
    <phoneticPr fontId="9" type="noConversion"/>
  </si>
  <si>
    <t>IF(ExposureTimeMode="Ultra Short",IF(ExposureTime&gt;INT(tOFFSET/1000),ROUNDUP((ExposureTime*1000-tOFFSET)/1000,0),1),MAX(ROUNDUP(((ExposureTime*1000-tOFFSET)/tRow),0),1))</t>
    <phoneticPr fontId="9" type="noConversion"/>
  </si>
  <si>
    <t>触发模式</t>
    <phoneticPr fontId="9" type="noConversion"/>
  </si>
  <si>
    <t>triggermode</t>
    <phoneticPr fontId="9" type="noConversion"/>
  </si>
  <si>
    <t>triggercache</t>
    <phoneticPr fontId="9" type="noConversion"/>
  </si>
  <si>
    <t>strobe_time</t>
    <phoneticPr fontId="9" type="noConversion"/>
  </si>
  <si>
    <t>极小曝光时，闪光灯维持时间至少比曝光时间要展宽4us；普通曝光时，闪光灯维持时间至少比曝光时间要展宽4个行周期</t>
    <phoneticPr fontId="9" type="noConversion"/>
  </si>
  <si>
    <t>IF(ExposureTimeMode="Ultra Short",（exp_time+exp_delay+4*tRow/1000+GMRWT+5）,(exp_time+exp_delay+(GMRWT+5+4)*tRow/1000))（需注意闪光灯时间与GMRWT相关）</t>
    <phoneticPr fontId="9" type="noConversion"/>
  </si>
  <si>
    <t>Standard</t>
    <phoneticPr fontId="9" type="noConversion"/>
  </si>
  <si>
    <t>readout_time</t>
    <phoneticPr fontId="9" type="noConversion"/>
  </si>
  <si>
    <t>OffsetY</t>
    <phoneticPr fontId="9" type="noConversion"/>
  </si>
  <si>
    <t>图像高度</t>
    <phoneticPr fontId="9" type="noConversion"/>
  </si>
  <si>
    <t>帧信息使能</t>
    <phoneticPr fontId="9" type="noConversion"/>
  </si>
  <si>
    <t>TriggerWidth模式下曝光时间</t>
    <phoneticPr fontId="9" type="noConversion"/>
  </si>
  <si>
    <t>dec2hex(hmax)</t>
    <phoneticPr fontId="9" type="noConversion"/>
  </si>
  <si>
    <t>GevLinkSpeed</t>
    <phoneticPr fontId="9" type="noConversion"/>
  </si>
  <si>
    <t>网络连接速度</t>
    <phoneticPr fontId="9" type="noConversion"/>
  </si>
  <si>
    <t>TriggerWidth模式下曝光时间决定的帧周期</t>
    <phoneticPr fontId="9" type="noConversion"/>
  </si>
  <si>
    <t>0x100_0804</t>
    <phoneticPr fontId="9" type="noConversion"/>
  </si>
  <si>
    <t>FPGA曝光延迟寄存器</t>
    <phoneticPr fontId="9" type="noConversion"/>
  </si>
  <si>
    <t>GevSCPSPacketSize</t>
    <phoneticPr fontId="9" type="noConversion"/>
  </si>
  <si>
    <t>流通道包长(指的是以太网的负载包长 范围:512-16384)该数值包含协议开销综合I，不包II</t>
    <phoneticPr fontId="9" type="noConversion"/>
  </si>
  <si>
    <t>TriggerWidth模式下实际曝光时间</t>
    <phoneticPr fontId="9" type="noConversion"/>
  </si>
  <si>
    <t xml:space="preserve">IF((TriggerMode=1)*(ExposureMode="TriggerWidth"),IF(TriggerWidthLength&gt;ExposureOverlapTimeMax,(ROUNDUP((1000*TriggerWidthLength/tRow),0)*tRow+tOFFSET)/1000,(ROUNDUP((1000*ExposureOverlapTimeMax/tRow),0)*tRow+tOFFSET)/1000),"null")  </t>
    <phoneticPr fontId="9" type="noConversion"/>
  </si>
  <si>
    <t>us</t>
    <phoneticPr fontId="9" type="noConversion"/>
  </si>
  <si>
    <t>极小曝光模式时的曝光时间决定的帧周期</t>
    <phoneticPr fontId="9" type="noConversion"/>
  </si>
  <si>
    <t>slave_trigger_interval_single</t>
    <phoneticPr fontId="9" type="noConversion"/>
  </si>
  <si>
    <t>0x100_0844</t>
    <phoneticPr fontId="9" type="noConversion"/>
  </si>
  <si>
    <t>单帧模式下触发间隔寄存器</t>
    <phoneticPr fontId="9" type="noConversion"/>
  </si>
  <si>
    <t>slave_trigger_interval_trig</t>
    <phoneticPr fontId="9" type="noConversion"/>
  </si>
  <si>
    <t>触发间隔寄存器-触发模式</t>
    <phoneticPr fontId="9" type="noConversion"/>
  </si>
  <si>
    <t>标准曝光模式时的曝光时间决定的帧周期</t>
    <phoneticPr fontId="9" type="noConversion"/>
  </si>
  <si>
    <t>line</t>
    <phoneticPr fontId="9" type="noConversion"/>
  </si>
  <si>
    <t>roi_line_hide</t>
    <phoneticPr fontId="9" type="noConversion"/>
  </si>
  <si>
    <t>水平Skipping</t>
    <phoneticPr fontId="9" type="noConversion"/>
  </si>
  <si>
    <t>DDR3_capacity</t>
    <phoneticPr fontId="9" type="noConversion"/>
  </si>
  <si>
    <t>DDR3芯片的容量</t>
    <phoneticPr fontId="9" type="noConversion"/>
  </si>
  <si>
    <t>垂直Skipping</t>
    <phoneticPr fontId="9" type="noConversion"/>
  </si>
  <si>
    <t>frame_space</t>
    <phoneticPr fontId="9" type="noConversion"/>
  </si>
  <si>
    <t>一帧图像的储存空间，1024的整数倍</t>
    <phoneticPr fontId="9" type="noConversion"/>
  </si>
  <si>
    <t>packet_length</t>
    <phoneticPr fontId="9" type="noConversion"/>
  </si>
  <si>
    <t>上层设置的包间隔以ns为单位，而FPGA中需要寄存器以时钟个数为单位，由于clk_gtx时钟对应的时钟周期为6.4ns，因此将用户设置的包间隔除以6.4之后再上取整即可</t>
    <phoneticPr fontId="9" type="noConversion"/>
  </si>
  <si>
    <t>FPGA binning</t>
    <phoneticPr fontId="9" type="noConversion"/>
  </si>
  <si>
    <t>frame_depth</t>
    <phoneticPr fontId="9" type="noConversion"/>
  </si>
  <si>
    <t>帧存的最大深度</t>
    <phoneticPr fontId="9" type="noConversion"/>
  </si>
  <si>
    <t>Vertical binning</t>
    <phoneticPr fontId="9" type="noConversion"/>
  </si>
  <si>
    <t>sensor前端带宽</t>
    <phoneticPr fontId="9" type="noConversion"/>
  </si>
  <si>
    <t>最大以太网有效传输带宽，预留带宽为0，针对突发采集模式高速模式使用。</t>
    <phoneticPr fontId="9" type="noConversion"/>
  </si>
  <si>
    <t>byte/10s</t>
    <phoneticPr fontId="9" type="noConversion"/>
  </si>
  <si>
    <t>backend_limit_period_time_min</t>
    <phoneticPr fontId="9" type="noConversion"/>
  </si>
  <si>
    <t>最小后端传输限制的帧周期，预留带宽为0，针对突发采集模式高速模式使用。</t>
    <phoneticPr fontId="9" type="noConversion"/>
  </si>
  <si>
    <t>19.Default exposureTime</t>
    <phoneticPr fontId="9" type="noConversion"/>
  </si>
  <si>
    <t>21.Default pic_height</t>
    <phoneticPr fontId="9" type="noConversion"/>
  </si>
  <si>
    <t>22.Default FrameRate</t>
    <phoneticPr fontId="9" type="noConversion"/>
  </si>
  <si>
    <t>28.HMAX(75MHz)</t>
    <phoneticPr fontId="9" type="noConversion"/>
  </si>
  <si>
    <t>A7</t>
    <phoneticPr fontId="9" type="noConversion"/>
  </si>
  <si>
    <t xml:space="preserve">IF(ExposureTimeMode="Ultra Short"）
IF(TriggerMode=1,ROUNDUP(MAX(readout_period_time,exp_period_time,fps_limit_period_time),0),ROUNDUP(MAX(readout_period_time,exp_period_time,fps_limit_period_time,tp_limit_period_time),0))
else
IF(TriggerMode=1,IF(ExposureMode="TriggerWidth",ROUNDUP(MAX(readout_period_time,exp_period_triggerwidth,fps_limit_period_time)*img_row_time/1000,0),ROUNDUP(MAX(readout_period_time,exp_period_time,fps_limit_period_time)*img_row_time/1000,0)),IF(triggercache=0,ROUNDUP(MAX(readout_period_time,exp_period_time,fps_limit_period_time)*img_row_time/1000,0),ROUNDUP(MAX(readout_period_time,exp_period_time,fps_limit_period_time,tp_limit_period_time)*img_row_time/1000,0)ROUNDUP(MAX(readout_period_time,exp_period_time,fps_limit_period_time,tp_limit_period_time)*img_row_time/1000,0))
</t>
    <phoneticPr fontId="9" type="noConversion"/>
  </si>
  <si>
    <t>Finck</t>
    <phoneticPr fontId="9" type="noConversion"/>
  </si>
  <si>
    <t>Sensor输入时钟频率
(手册第一页Features Input frequency)</t>
    <phoneticPr fontId="9" type="noConversion"/>
  </si>
  <si>
    <t>37.125 or 74.25 抖动幅度0.96~1.02</t>
    <phoneticPr fontId="9" type="noConversion"/>
  </si>
  <si>
    <t>KHz</t>
    <phoneticPr fontId="9" type="noConversion"/>
  </si>
  <si>
    <t>me2s-1610</t>
    <phoneticPr fontId="9" type="noConversion"/>
  </si>
  <si>
    <t>margin_x</t>
    <phoneticPr fontId="9" type="noConversion"/>
  </si>
  <si>
    <t>参见映射关系表</t>
    <phoneticPr fontId="9" type="noConversion"/>
  </si>
  <si>
    <t>line</t>
    <phoneticPr fontId="9" type="noConversion"/>
  </si>
  <si>
    <t>imx547</t>
    <phoneticPr fontId="9" type="noConversion"/>
  </si>
  <si>
    <t>exposureMode</t>
    <phoneticPr fontId="9" type="noConversion"/>
  </si>
  <si>
    <t>clk</t>
    <phoneticPr fontId="9" type="noConversion"/>
  </si>
  <si>
    <t>me2s-806</t>
    <phoneticPr fontId="9" type="noConversion"/>
  </si>
  <si>
    <t>IF(ExposureTimeMode="Ultra Short",exp_period_ultrashort,exp_period_stardard+if(sequencer_configration_mode=0,0,sensor_config_time))</t>
    <phoneticPr fontId="9" type="noConversion"/>
  </si>
  <si>
    <t>极小曝光模式时的sensorHMAX值，用于计算极小曝光模式下的行周期和帧周期</t>
    <phoneticPr fontId="9" type="noConversion"/>
  </si>
  <si>
    <t>像素格式(8/12)</t>
    <phoneticPr fontId="9" type="noConversion"/>
  </si>
  <si>
    <t>exp_time</t>
    <phoneticPr fontId="9" type="noConversion"/>
  </si>
  <si>
    <t>最小帧消隐行数
(手册Global Shutter (Sequential Trigger Mode) Operation章节，VTR公式最后一个参数)</t>
    <phoneticPr fontId="9" type="noConversion"/>
  </si>
  <si>
    <t>bandwidth_limit_period_time（在突发采集现在“HeightSpeed”时，不考虑预留带宽）</t>
    <phoneticPr fontId="9" type="noConversion"/>
  </si>
  <si>
    <t>两次曝光间隔最小值
(手册Global Shutter (Sequential Trigger Mode) Operation章节，表格Parameter List of Global Shutter中的tTGES+1)</t>
    <phoneticPr fontId="9" type="noConversion"/>
  </si>
  <si>
    <t>ExposureOverlapTimeMax</t>
    <phoneticPr fontId="9" type="noConversion"/>
  </si>
  <si>
    <t>tOFFSET</t>
    <phoneticPr fontId="9" type="noConversion"/>
  </si>
  <si>
    <t>曝光时间误差
(手册Global Shutter (Sequential Trigger Mode) Operation章节，Exposuretime[s]公式最后一个参数)</t>
    <phoneticPr fontId="9" type="noConversion"/>
  </si>
  <si>
    <t>ns</t>
    <phoneticPr fontId="9" type="noConversion"/>
  </si>
  <si>
    <t>TriggerWidthLength</t>
    <phoneticPr fontId="9" type="noConversion"/>
  </si>
  <si>
    <t>us</t>
    <phoneticPr fontId="9" type="noConversion"/>
  </si>
  <si>
    <t>exp_overlap_th</t>
    <phoneticPr fontId="9" type="noConversion"/>
  </si>
  <si>
    <t>xtrig_length_us</t>
    <phoneticPr fontId="9" type="noConversion"/>
  </si>
  <si>
    <t>IF(ExposureTimeMode="Ultra Short",0,IF((ExposureTime&gt;INT(tOFFSET/1000))*(ExposureTime&lt;=exp_overlap_th)*Horizontal Skipping=1*Vertical Skipping=1),ROUNDUP((ExposureTime*1000-tOFFSET)/1000,0),0))</t>
    <phoneticPr fontId="9" type="noConversion"/>
  </si>
  <si>
    <t>triggermode</t>
    <phoneticPr fontId="9" type="noConversion"/>
  </si>
  <si>
    <t>触发模式</t>
    <phoneticPr fontId="9" type="noConversion"/>
  </si>
  <si>
    <t>IF(ExposureTimeMode="Ultra Short",ExposureDelay,ROUNDUP(((1000*ExposureDelay)/tRow),0))</t>
    <phoneticPr fontId="9" type="noConversion"/>
  </si>
  <si>
    <t>triggercache</t>
    <phoneticPr fontId="9" type="noConversion"/>
  </si>
  <si>
    <t>OB行数</t>
    <phoneticPr fontId="9" type="noConversion"/>
  </si>
  <si>
    <t>AcquisitionBurstMode</t>
    <phoneticPr fontId="9" type="noConversion"/>
  </si>
  <si>
    <t>实际读出时间
(Sequential Trigger Mode) Operation章节，表格Parameter List of Global Shutter中的tTGDLY)</t>
    <phoneticPr fontId="9" type="noConversion"/>
  </si>
  <si>
    <t>图像宽度</t>
    <phoneticPr fontId="9" type="noConversion"/>
  </si>
  <si>
    <t>ChunkModeActive</t>
    <phoneticPr fontId="9" type="noConversion"/>
  </si>
  <si>
    <t>sequencer_configration_mode</t>
    <phoneticPr fontId="9" type="noConversion"/>
  </si>
  <si>
    <t>dec2hex(hmax)</t>
    <phoneticPr fontId="9" type="noConversion"/>
  </si>
  <si>
    <t>clk_sensor 50MHz</t>
    <phoneticPr fontId="9" type="noConversion"/>
  </si>
  <si>
    <t>网络连接速度</t>
    <phoneticPr fontId="9" type="noConversion"/>
  </si>
  <si>
    <t>us</t>
    <phoneticPr fontId="9" type="noConversion"/>
  </si>
  <si>
    <t>标准曝光模式</t>
    <phoneticPr fontId="9" type="noConversion"/>
  </si>
  <si>
    <t>exp_period_stardard</t>
    <phoneticPr fontId="9" type="noConversion"/>
  </si>
  <si>
    <t>曝光模式寄存器</t>
    <phoneticPr fontId="9" type="noConversion"/>
  </si>
  <si>
    <t>dec2hex(FramePeriod)</t>
    <phoneticPr fontId="9" type="noConversion"/>
  </si>
  <si>
    <t>param_cfg_done</t>
    <phoneticPr fontId="9" type="noConversion"/>
  </si>
  <si>
    <t>-</t>
    <phoneticPr fontId="9" type="noConversion"/>
  </si>
  <si>
    <t>最大以太网有效传输带宽，预留带宽为0，针对突发采集模式高速模式使用。</t>
    <phoneticPr fontId="9" type="noConversion"/>
  </si>
  <si>
    <t>Byte</t>
    <phoneticPr fontId="9" type="noConversion"/>
  </si>
  <si>
    <t>mer3-801-36g3m-p-uv</t>
    <phoneticPr fontId="9" type="noConversion"/>
  </si>
  <si>
    <t>动态位深</t>
    <phoneticPr fontId="9" type="noConversion"/>
  </si>
  <si>
    <t>不支持动态位深</t>
    <phoneticPr fontId="9" type="noConversion"/>
  </si>
  <si>
    <t>3.Master Clock (KHz)</t>
    <phoneticPr fontId="9" type="noConversion"/>
  </si>
  <si>
    <t>13.hmax</t>
    <phoneticPr fontId="9" type="noConversion"/>
  </si>
  <si>
    <t>15.ExpIntMin</t>
    <phoneticPr fontId="9" type="noConversion"/>
  </si>
  <si>
    <t>16.tOFFSET(ns)</t>
    <phoneticPr fontId="9" type="noConversion"/>
  </si>
  <si>
    <t>19.Default exposureTime</t>
    <phoneticPr fontId="9" type="noConversion"/>
  </si>
  <si>
    <t>20.Default pic_width</t>
    <phoneticPr fontId="9" type="noConversion"/>
  </si>
  <si>
    <t>23.gtx_clk</t>
    <phoneticPr fontId="9" type="noConversion"/>
  </si>
  <si>
    <t>25.FPGA platform</t>
    <phoneticPr fontId="9" type="noConversion"/>
  </si>
  <si>
    <t>28.HMAX(75MHz)</t>
    <phoneticPr fontId="9" type="noConversion"/>
  </si>
  <si>
    <t>me2s-2440</t>
    <phoneticPr fontId="9" type="noConversion"/>
  </si>
  <si>
    <t>IMX540</t>
    <phoneticPr fontId="9" type="noConversion"/>
  </si>
  <si>
    <t>A7</t>
    <phoneticPr fontId="9" type="noConversion"/>
  </si>
  <si>
    <t>ROUNDUP(1000000*hmax/Finck),0)</t>
    <phoneticPr fontId="9" type="noConversion"/>
  </si>
  <si>
    <t>Finck</t>
    <phoneticPr fontId="9" type="noConversion"/>
  </si>
  <si>
    <t>margin_x</t>
    <phoneticPr fontId="9" type="noConversion"/>
  </si>
  <si>
    <t>有效像素边界
(手册Pixel Arrangement章节，图示)</t>
    <phoneticPr fontId="9" type="noConversion"/>
  </si>
  <si>
    <t>参见映射关系表</t>
    <phoneticPr fontId="9" type="noConversion"/>
  </si>
  <si>
    <t>imx545</t>
    <phoneticPr fontId="9" type="noConversion"/>
  </si>
  <si>
    <t>有效像素边界
(手册Pixel Arrangement章节，图示)</t>
    <phoneticPr fontId="9" type="noConversion"/>
  </si>
  <si>
    <t>line</t>
    <phoneticPr fontId="9" type="noConversion"/>
  </si>
  <si>
    <t>exposureMode</t>
    <phoneticPr fontId="9" type="noConversion"/>
  </si>
  <si>
    <t>曝光模式</t>
    <phoneticPr fontId="9" type="noConversion"/>
  </si>
  <si>
    <t>IF(ExposureTimeMode="Ultra Short",ROUNDUP((Height+VBmin)*tRow/1000,0)+10,Height+VBmin)</t>
    <phoneticPr fontId="9" type="noConversion"/>
  </si>
  <si>
    <t>hmax</t>
    <phoneticPr fontId="9" type="noConversion"/>
  </si>
  <si>
    <t>imx546</t>
    <phoneticPr fontId="9" type="noConversion"/>
  </si>
  <si>
    <t>ExposureTimeMode</t>
    <phoneticPr fontId="9" type="noConversion"/>
  </si>
  <si>
    <t>Standard</t>
    <phoneticPr fontId="9" type="noConversion"/>
  </si>
  <si>
    <t>IF(ExposureTimeMode="Ultra Short",exp_period_ultrashort,exp_period_stardard+if(sequencer_configration_mode=0,0,sensor_config_time))</t>
    <phoneticPr fontId="9" type="noConversion"/>
  </si>
  <si>
    <t>HMAX(75MHz)</t>
    <phoneticPr fontId="9" type="noConversion"/>
  </si>
  <si>
    <t>clk</t>
    <phoneticPr fontId="9" type="noConversion"/>
  </si>
  <si>
    <t>imx487</t>
    <phoneticPr fontId="9" type="noConversion"/>
  </si>
  <si>
    <t>曝光时间</t>
    <phoneticPr fontId="9" type="noConversion"/>
  </si>
  <si>
    <t>交叠-非交叠曝光时间分界值
（timed普通曝光模式下小曝光区间强制非交叠，低于分界值按us曝光；大曝光区间可以交叠，高于分界值按行周期整数倍曝光）</t>
    <phoneticPr fontId="9" type="noConversion"/>
  </si>
  <si>
    <t>triggermode</t>
    <phoneticPr fontId="9" type="noConversion"/>
  </si>
  <si>
    <t>曝光延迟行数</t>
    <phoneticPr fontId="9" type="noConversion"/>
  </si>
  <si>
    <t>triggercache</t>
    <phoneticPr fontId="9" type="noConversion"/>
  </si>
  <si>
    <t>触发缓存</t>
    <phoneticPr fontId="9" type="noConversion"/>
  </si>
  <si>
    <t>strobe_time</t>
    <phoneticPr fontId="9" type="noConversion"/>
  </si>
  <si>
    <t>极小曝光时，闪光灯维持时间至少比曝光时间要展宽4us；普通曝光时，闪光灯维持时间至少比曝光时间要展宽4个行周期</t>
    <phoneticPr fontId="9" type="noConversion"/>
  </si>
  <si>
    <t>OB</t>
    <phoneticPr fontId="9" type="noConversion"/>
  </si>
  <si>
    <t>IF(ExposureTimeMode="Ultra Short",ROUNDUP((pic_height+11+tTGDLY)*tRow/1000,0),pic_height+11+tTGDLY)</t>
    <phoneticPr fontId="9" type="noConversion"/>
  </si>
  <si>
    <t>Width</t>
    <phoneticPr fontId="9" type="noConversion"/>
  </si>
  <si>
    <t>图像高度</t>
    <phoneticPr fontId="9" type="noConversion"/>
  </si>
  <si>
    <t>ChunkModeActive</t>
    <phoneticPr fontId="9" type="noConversion"/>
  </si>
  <si>
    <t>sequencer_configration_mode</t>
    <phoneticPr fontId="9" type="noConversion"/>
  </si>
  <si>
    <t>序列配置模式使能</t>
    <phoneticPr fontId="9" type="noConversion"/>
  </si>
  <si>
    <t>sonyimx_readout_time</t>
    <phoneticPr fontId="9" type="noConversion"/>
  </si>
  <si>
    <t>0x100_084c</t>
    <phoneticPr fontId="9" type="noConversion"/>
  </si>
  <si>
    <t>FPGA读出时间寄存器</t>
    <phoneticPr fontId="9" type="noConversion"/>
  </si>
  <si>
    <t>slave_hmax</t>
    <phoneticPr fontId="9" type="noConversion"/>
  </si>
  <si>
    <t>FPGA行周期</t>
    <phoneticPr fontId="9" type="noConversion"/>
  </si>
  <si>
    <t>dec2hex(hmax)</t>
    <phoneticPr fontId="9" type="noConversion"/>
  </si>
  <si>
    <t>网络连接速度</t>
    <phoneticPr fontId="9" type="noConversion"/>
  </si>
  <si>
    <t>TriggerWidth模式下曝光时间决定的帧周期</t>
    <phoneticPr fontId="9" type="noConversion"/>
  </si>
  <si>
    <t>slave_exposure_delay</t>
    <phoneticPr fontId="9" type="noConversion"/>
  </si>
  <si>
    <t>GevSCPSPacketSize</t>
    <phoneticPr fontId="9" type="noConversion"/>
  </si>
  <si>
    <t>流通道包长(指的是以太网的负载包长 范围:512-16384)该数值包含协议开销综合I，不包II</t>
    <phoneticPr fontId="9" type="noConversion"/>
  </si>
  <si>
    <t>TriggerWidth模式下实际曝光时间</t>
    <phoneticPr fontId="9" type="noConversion"/>
  </si>
  <si>
    <t>us</t>
    <phoneticPr fontId="9" type="noConversion"/>
  </si>
  <si>
    <t>0x100_0854</t>
    <phoneticPr fontId="9" type="noConversion"/>
  </si>
  <si>
    <t>BandwidthReserve</t>
    <phoneticPr fontId="9" type="noConversion"/>
  </si>
  <si>
    <t>极小曝光</t>
    <phoneticPr fontId="9" type="noConversion"/>
  </si>
  <si>
    <t>dec2hex(FramePeriod)</t>
    <phoneticPr fontId="9" type="noConversion"/>
  </si>
  <si>
    <t>极小曝光模式时的曝光时间决定的帧周期</t>
    <phoneticPr fontId="9" type="noConversion"/>
  </si>
  <si>
    <t>slave_trigger_interval_single</t>
    <phoneticPr fontId="9" type="noConversion"/>
  </si>
  <si>
    <t>单帧模式下触发间隔寄存器</t>
    <phoneticPr fontId="9" type="noConversion"/>
  </si>
  <si>
    <t>AcquisitionFrameRateMode</t>
    <phoneticPr fontId="9" type="noConversion"/>
  </si>
  <si>
    <t>标准曝光模式</t>
    <phoneticPr fontId="9" type="noConversion"/>
  </si>
  <si>
    <t>slave_trigger_interval_trig</t>
    <phoneticPr fontId="9" type="noConversion"/>
  </si>
  <si>
    <t>0x100_0848</t>
    <phoneticPr fontId="9" type="noConversion"/>
  </si>
  <si>
    <t>触发间隔寄存器-触发模式</t>
    <phoneticPr fontId="9" type="noConversion"/>
  </si>
  <si>
    <t>AcquisitionFrameRate</t>
    <phoneticPr fontId="9" type="noConversion"/>
  </si>
  <si>
    <t>帧率控制</t>
    <phoneticPr fontId="9" type="noConversion"/>
  </si>
  <si>
    <t>exp_period_stardard</t>
    <phoneticPr fontId="9" type="noConversion"/>
  </si>
  <si>
    <t>标准曝光模式时的曝光时间决定的帧周期</t>
    <phoneticPr fontId="9" type="noConversion"/>
  </si>
  <si>
    <t>IF(ExposureTime&gt;exp_overlap_th or Horizontal Skipping=2 or Vertical Skipping=2,xtrig_length+exp_delay_line_num+ExpIntMin,xtrig_length+exp_delay_line_num+readout_period_time+2)</t>
    <phoneticPr fontId="9" type="noConversion"/>
  </si>
  <si>
    <t>sonyimx_exposure_mode</t>
    <phoneticPr fontId="9" type="noConversion"/>
  </si>
  <si>
    <t>0x100_0850</t>
    <phoneticPr fontId="9" type="noConversion"/>
  </si>
  <si>
    <t>曝光模式寄存器</t>
    <phoneticPr fontId="9" type="noConversion"/>
  </si>
  <si>
    <t>sensor Skipping</t>
    <phoneticPr fontId="9" type="noConversion"/>
  </si>
  <si>
    <t>burst-帧存参数计算</t>
    <phoneticPr fontId="9" type="noConversion"/>
  </si>
  <si>
    <t>roi_line_hide</t>
    <phoneticPr fontId="9" type="noConversion"/>
  </si>
  <si>
    <t>水平行消隐寄存器</t>
    <phoneticPr fontId="9" type="noConversion"/>
  </si>
  <si>
    <t>Horizontal Skipping</t>
    <phoneticPr fontId="9" type="noConversion"/>
  </si>
  <si>
    <t>DDR3_capacity</t>
    <phoneticPr fontId="9" type="noConversion"/>
  </si>
  <si>
    <t>DDR3芯片的容量</t>
    <phoneticPr fontId="9" type="noConversion"/>
  </si>
  <si>
    <t>Gb</t>
    <phoneticPr fontId="9" type="noConversion"/>
  </si>
  <si>
    <t>param_cfg_done</t>
    <phoneticPr fontId="9" type="noConversion"/>
  </si>
  <si>
    <t>0x1200100</t>
    <phoneticPr fontId="9" type="noConversion"/>
  </si>
  <si>
    <t>dec2hex(GevSCPSPacketSize-header_in_payload)</t>
    <phoneticPr fontId="9" type="noConversion"/>
  </si>
  <si>
    <t>-</t>
    <phoneticPr fontId="9" type="noConversion"/>
  </si>
  <si>
    <t>0x1400084</t>
    <phoneticPr fontId="9" type="noConversion"/>
  </si>
  <si>
    <t>铜线端速率匹配寄存器</t>
    <phoneticPr fontId="9" type="noConversion"/>
  </si>
  <si>
    <t>dec2hex(speed_link)</t>
    <phoneticPr fontId="9" type="noConversion"/>
  </si>
  <si>
    <t>s</t>
    <phoneticPr fontId="9" type="noConversion"/>
  </si>
  <si>
    <t>Horizontal binning</t>
    <phoneticPr fontId="9" type="noConversion"/>
  </si>
  <si>
    <t>DDR前端剩余带宽</t>
    <phoneticPr fontId="9" type="noConversion"/>
  </si>
  <si>
    <t>保证该值几乎=0</t>
    <phoneticPr fontId="9" type="noConversion"/>
  </si>
  <si>
    <t>最大以太网有效传输带宽，预留带宽为0，针对突发采集模式高速模式使用。</t>
    <phoneticPr fontId="9" type="noConversion"/>
  </si>
  <si>
    <t>int(link_speed*(100)*10/100/8)</t>
    <phoneticPr fontId="9" type="noConversion"/>
  </si>
  <si>
    <t>backend_limit_period_time_min</t>
    <phoneticPr fontId="9" type="noConversion"/>
  </si>
  <si>
    <t>1.0.3</t>
    <phoneticPr fontId="9" type="noConversion"/>
  </si>
  <si>
    <t>1、Modify the linkage between Skipping and ROI</t>
    <phoneticPr fontId="9" type="noConversion"/>
  </si>
  <si>
    <t>2024.4.24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</si>
</sst>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b/>
      <sz val="11"/>
      <color rgb="FFFFFF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indexed="13"/>
      <name val="宋体"/>
      <family val="3"/>
      <charset val="134"/>
    </font>
    <font>
      <sz val="11"/>
      <name val="ＭＳ Ｐゴシック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FFFF00"/>
      <name val="等线"/>
      <family val="3"/>
      <charset val="134"/>
    </font>
    <font>
      <sz val="11"/>
      <name val="等线"/>
      <family val="3"/>
      <charset val="134"/>
    </font>
    <font>
      <sz val="11"/>
      <color rgb="FFFF0000"/>
      <name val="等线"/>
      <family val="3"/>
      <charset val="134"/>
    </font>
    <font>
      <sz val="11"/>
      <color rgb="FFFF0000"/>
      <name val="宋体"/>
      <family val="2"/>
      <scheme val="minor"/>
    </font>
    <font>
      <b/>
      <sz val="20"/>
      <color theme="0"/>
      <name val="等线"/>
      <family val="3"/>
      <charset val="134"/>
    </font>
    <font>
      <b/>
      <sz val="18"/>
      <color theme="0"/>
      <name val="等线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>
      <alignment vertical="center"/>
    </xf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5" fillId="0" borderId="0"/>
    <xf numFmtId="0" fontId="8" fillId="0" borderId="0"/>
    <xf numFmtId="0" fontId="5" fillId="0" borderId="0">
      <alignment vertical="center"/>
    </xf>
  </cellStyleXfs>
  <cellXfs count="275">
    <xf numFmtId="0" fontId="0" fillId="0" borderId="0" xfId="0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0" xfId="0" applyFont="1">
      <alignment vertical="center"/>
    </xf>
    <xf numFmtId="0" fontId="6" fillId="12" borderId="1" xfId="0" applyNumberFormat="1" applyFont="1" applyFill="1" applyBorder="1" applyAlignment="1" applyProtection="1">
      <alignment vertical="center"/>
    </xf>
    <xf numFmtId="0" fontId="6" fillId="12" borderId="1" xfId="0" applyNumberFormat="1" applyFont="1" applyFill="1" applyBorder="1" applyAlignment="1" applyProtection="1">
      <alignment vertical="center"/>
      <protection locked="0"/>
    </xf>
    <xf numFmtId="0" fontId="0" fillId="6" borderId="1" xfId="0" applyFill="1" applyBorder="1">
      <alignment vertical="center"/>
    </xf>
    <xf numFmtId="0" fontId="0" fillId="0" borderId="1" xfId="0" applyFill="1" applyBorder="1">
      <alignment vertical="center"/>
    </xf>
    <xf numFmtId="0" fontId="5" fillId="0" borderId="1" xfId="0" applyFont="1" applyFill="1" applyBorder="1">
      <alignment vertical="center"/>
    </xf>
    <xf numFmtId="0" fontId="5" fillId="0" borderId="1" xfId="0" applyFont="1" applyBorder="1" applyAlignment="1">
      <alignment vertical="center" wrapText="1"/>
    </xf>
    <xf numFmtId="0" fontId="1" fillId="10" borderId="1" xfId="8" applyFont="1" applyFill="1" applyBorder="1" applyProtection="1">
      <alignment vertical="center"/>
    </xf>
    <xf numFmtId="0" fontId="1" fillId="10" borderId="1" xfId="8" applyFont="1" applyFill="1" applyBorder="1" applyProtection="1">
      <alignment vertical="center"/>
      <protection locked="0"/>
    </xf>
    <xf numFmtId="0" fontId="1" fillId="10" borderId="1" xfId="0" applyFont="1" applyFill="1" applyBorder="1" applyProtection="1">
      <alignment vertical="center"/>
      <protection locked="0"/>
    </xf>
    <xf numFmtId="0" fontId="4" fillId="0" borderId="0" xfId="0" applyFont="1">
      <alignment vertical="center"/>
    </xf>
    <xf numFmtId="0" fontId="4" fillId="0" borderId="34" xfId="0" applyFont="1" applyBorder="1" applyAlignment="1">
      <alignment vertical="center"/>
    </xf>
    <xf numFmtId="0" fontId="1" fillId="10" borderId="1" xfId="0" applyFont="1" applyFill="1" applyBorder="1" applyProtection="1">
      <alignment vertical="center"/>
    </xf>
    <xf numFmtId="0" fontId="2" fillId="10" borderId="1" xfId="8" applyFont="1" applyFill="1" applyBorder="1" applyProtection="1">
      <alignment vertical="center"/>
    </xf>
    <xf numFmtId="0" fontId="2" fillId="10" borderId="1" xfId="0" applyFont="1" applyFill="1" applyBorder="1" applyProtection="1">
      <alignment vertical="center"/>
    </xf>
    <xf numFmtId="176" fontId="2" fillId="10" borderId="1" xfId="0" applyNumberFormat="1" applyFont="1" applyFill="1" applyBorder="1" applyProtection="1">
      <alignment vertical="center"/>
    </xf>
    <xf numFmtId="0" fontId="10" fillId="0" borderId="0" xfId="0" applyFont="1" applyAlignment="1"/>
    <xf numFmtId="0" fontId="11" fillId="2" borderId="2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13" fillId="13" borderId="35" xfId="0" applyFont="1" applyFill="1" applyBorder="1" applyAlignment="1">
      <alignment horizontal="left" vertical="center" wrapText="1"/>
    </xf>
    <xf numFmtId="0" fontId="13" fillId="13" borderId="36" xfId="0" applyFont="1" applyFill="1" applyBorder="1" applyAlignment="1">
      <alignment horizontal="left" vertical="center" wrapText="1"/>
    </xf>
    <xf numFmtId="0" fontId="13" fillId="13" borderId="37" xfId="0" applyFont="1" applyFill="1" applyBorder="1" applyAlignment="1">
      <alignment horizontal="left" vertical="center" wrapText="1"/>
    </xf>
    <xf numFmtId="0" fontId="10" fillId="13" borderId="35" xfId="0" applyFont="1" applyFill="1" applyBorder="1" applyAlignment="1">
      <alignment vertical="center" wrapText="1"/>
    </xf>
    <xf numFmtId="0" fontId="10" fillId="13" borderId="36" xfId="0" applyFont="1" applyFill="1" applyBorder="1" applyAlignment="1">
      <alignment vertical="center" wrapText="1"/>
    </xf>
    <xf numFmtId="0" fontId="10" fillId="8" borderId="37" xfId="0" applyFont="1" applyFill="1" applyBorder="1" applyAlignment="1">
      <alignment vertical="center" wrapText="1"/>
    </xf>
    <xf numFmtId="0" fontId="10" fillId="13" borderId="35" xfId="0" applyFont="1" applyFill="1" applyBorder="1" applyAlignment="1">
      <alignment horizontal="left" vertical="center" wrapText="1"/>
    </xf>
    <xf numFmtId="0" fontId="10" fillId="13" borderId="36" xfId="0" applyFont="1" applyFill="1" applyBorder="1" applyAlignment="1">
      <alignment horizontal="left" vertical="center" wrapText="1"/>
    </xf>
    <xf numFmtId="0" fontId="10" fillId="8" borderId="37" xfId="0" applyFont="1" applyFill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5" xfId="0" applyFont="1" applyFill="1" applyBorder="1" applyAlignment="1">
      <alignment horizontal="left" vertical="center" wrapText="1"/>
    </xf>
    <xf numFmtId="0" fontId="13" fillId="6" borderId="25" xfId="0" applyFont="1" applyFill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/>
    </xf>
    <xf numFmtId="0" fontId="13" fillId="0" borderId="25" xfId="0" applyFont="1" applyFill="1" applyBorder="1" applyAlignment="1">
      <alignment horizontal="left" vertical="center"/>
    </xf>
    <xf numFmtId="0" fontId="10" fillId="13" borderId="37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9" borderId="25" xfId="0" applyFont="1" applyFill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9" borderId="38" xfId="0" applyFont="1" applyFill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5" borderId="38" xfId="0" applyFont="1" applyFill="1" applyBorder="1" applyAlignment="1">
      <alignment horizontal="left" vertical="center" wrapText="1"/>
    </xf>
    <xf numFmtId="0" fontId="10" fillId="6" borderId="28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2" fontId="12" fillId="9" borderId="6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9" borderId="1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6" borderId="9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 wrapText="1"/>
    </xf>
    <xf numFmtId="0" fontId="10" fillId="14" borderId="25" xfId="0" applyFont="1" applyFill="1" applyBorder="1" applyAlignment="1">
      <alignment horizontal="left" vertical="center" wrapText="1"/>
    </xf>
    <xf numFmtId="0" fontId="12" fillId="6" borderId="30" xfId="0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12" fillId="9" borderId="25" xfId="0" applyFont="1" applyFill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/>
    </xf>
    <xf numFmtId="0" fontId="13" fillId="9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5" borderId="25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5" xfId="0" applyFont="1" applyBorder="1" applyAlignment="1">
      <alignment horizontal="left" vertical="center" wrapText="1"/>
    </xf>
    <xf numFmtId="0" fontId="10" fillId="5" borderId="6" xfId="0" applyFont="1" applyFill="1" applyBorder="1" applyAlignment="1">
      <alignment horizontal="left" vertical="center" wrapText="1"/>
    </xf>
    <xf numFmtId="0" fontId="12" fillId="6" borderId="7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0" fillId="9" borderId="6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12" fillId="14" borderId="1" xfId="0" applyFont="1" applyFill="1" applyBorder="1" applyAlignment="1">
      <alignment horizontal="left" vertical="center" wrapText="1"/>
    </xf>
    <xf numFmtId="0" fontId="10" fillId="0" borderId="4" xfId="0" quotePrefix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2" fillId="0" borderId="9" xfId="0" applyFont="1" applyBorder="1" applyAlignment="1">
      <alignment horizontal="left" vertical="center" wrapText="1"/>
    </xf>
    <xf numFmtId="0" fontId="12" fillId="0" borderId="40" xfId="0" applyFont="1" applyBorder="1" applyAlignment="1">
      <alignment horizontal="left" vertical="center" wrapText="1"/>
    </xf>
    <xf numFmtId="0" fontId="12" fillId="14" borderId="6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/>
    </xf>
    <xf numFmtId="0" fontId="10" fillId="14" borderId="1" xfId="0" applyFont="1" applyFill="1" applyBorder="1" applyAlignment="1">
      <alignment horizontal="left" vertical="center" wrapText="1"/>
    </xf>
    <xf numFmtId="0" fontId="10" fillId="6" borderId="4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0" fillId="14" borderId="38" xfId="0" applyFont="1" applyFill="1" applyBorder="1" applyAlignment="1">
      <alignment horizontal="left" vertical="center" wrapText="1"/>
    </xf>
    <xf numFmtId="0" fontId="12" fillId="9" borderId="6" xfId="0" applyFont="1" applyFill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9" borderId="1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6" borderId="10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9" borderId="25" xfId="0" applyNumberFormat="1" applyFont="1" applyFill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 wrapText="1"/>
    </xf>
    <xf numFmtId="0" fontId="12" fillId="0" borderId="1" xfId="3" applyFont="1" applyFill="1" applyBorder="1" applyAlignment="1" applyProtection="1">
      <alignment vertical="center"/>
    </xf>
    <xf numFmtId="0" fontId="12" fillId="0" borderId="4" xfId="0" applyFont="1" applyBorder="1" applyAlignment="1">
      <alignment horizontal="left" vertical="center" wrapText="1"/>
    </xf>
    <xf numFmtId="0" fontId="10" fillId="6" borderId="30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3" applyFont="1" applyFill="1" applyBorder="1" applyAlignment="1" applyProtection="1">
      <alignment vertical="center"/>
    </xf>
    <xf numFmtId="0" fontId="12" fillId="0" borderId="7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12" fillId="0" borderId="24" xfId="0" applyFont="1" applyBorder="1" applyAlignment="1">
      <alignment vertical="center" wrapText="1"/>
    </xf>
    <xf numFmtId="0" fontId="12" fillId="0" borderId="25" xfId="3" applyFont="1" applyFill="1" applyBorder="1" applyAlignment="1" applyProtection="1">
      <alignment vertical="center" wrapText="1"/>
    </xf>
    <xf numFmtId="0" fontId="12" fillId="0" borderId="5" xfId="0" applyFont="1" applyBorder="1" applyAlignment="1">
      <alignment horizontal="left" vertical="center" wrapText="1"/>
    </xf>
    <xf numFmtId="0" fontId="12" fillId="5" borderId="6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9" xfId="3" applyFont="1" applyFill="1" applyBorder="1" applyAlignment="1" applyProtection="1">
      <alignment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9" borderId="9" xfId="0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39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/>
    </xf>
    <xf numFmtId="0" fontId="12" fillId="5" borderId="38" xfId="0" applyFont="1" applyFill="1" applyBorder="1" applyAlignment="1">
      <alignment horizontal="left" vertical="center" wrapText="1"/>
    </xf>
    <xf numFmtId="0" fontId="12" fillId="6" borderId="28" xfId="0" applyFont="1" applyFill="1" applyBorder="1" applyAlignment="1">
      <alignment horizontal="left" vertical="center" wrapText="1"/>
    </xf>
    <xf numFmtId="0" fontId="12" fillId="0" borderId="20" xfId="0" applyFont="1" applyBorder="1" applyAlignment="1">
      <alignment vertical="center" wrapText="1"/>
    </xf>
    <xf numFmtId="0" fontId="12" fillId="0" borderId="15" xfId="3" applyFont="1" applyFill="1" applyBorder="1" applyAlignment="1" applyProtection="1">
      <alignment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9" borderId="15" xfId="0" applyFont="1" applyFill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0" fillId="13" borderId="41" xfId="0" applyFont="1" applyFill="1" applyBorder="1" applyAlignment="1">
      <alignment horizontal="left" vertical="center" wrapText="1"/>
    </xf>
    <xf numFmtId="0" fontId="13" fillId="0" borderId="39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/>
    </xf>
    <xf numFmtId="0" fontId="13" fillId="5" borderId="38" xfId="0" applyFont="1" applyFill="1" applyBorder="1" applyAlignment="1">
      <alignment horizontal="left" vertical="center" wrapText="1"/>
    </xf>
    <xf numFmtId="0" fontId="13" fillId="6" borderId="28" xfId="0" applyFont="1" applyFill="1" applyBorder="1" applyAlignment="1">
      <alignment horizontal="left" vertical="center" wrapText="1"/>
    </xf>
    <xf numFmtId="49" fontId="12" fillId="0" borderId="24" xfId="0" applyNumberFormat="1" applyFont="1" applyFill="1" applyBorder="1" applyAlignment="1">
      <alignment horizontal="left" vertical="center" wrapText="1"/>
    </xf>
    <xf numFmtId="49" fontId="10" fillId="0" borderId="25" xfId="0" applyNumberFormat="1" applyFont="1" applyFill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0" fillId="15" borderId="30" xfId="0" applyFont="1" applyFill="1" applyBorder="1" applyAlignment="1"/>
    <xf numFmtId="0" fontId="10" fillId="0" borderId="7" xfId="0" applyFont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2" fillId="0" borderId="42" xfId="0" applyFont="1" applyBorder="1" applyAlignment="1">
      <alignment vertical="center" wrapText="1"/>
    </xf>
    <xf numFmtId="0" fontId="10" fillId="15" borderId="4" xfId="0" applyFont="1" applyFill="1" applyBorder="1" applyAlignment="1"/>
    <xf numFmtId="0" fontId="12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/>
    </xf>
    <xf numFmtId="0" fontId="12" fillId="5" borderId="25" xfId="0" applyFont="1" applyFill="1" applyBorder="1" applyAlignment="1">
      <alignment horizontal="left" vertical="center" wrapText="1"/>
    </xf>
    <xf numFmtId="0" fontId="12" fillId="16" borderId="2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2" fillId="16" borderId="9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0" fontId="10" fillId="0" borderId="0" xfId="0" applyFont="1" applyFill="1" applyAlignment="1"/>
    <xf numFmtId="0" fontId="3" fillId="0" borderId="4" xfId="0" applyFont="1" applyBorder="1" applyAlignment="1">
      <alignment horizontal="left" vertical="center"/>
    </xf>
    <xf numFmtId="0" fontId="10" fillId="0" borderId="9" xfId="0" applyFont="1" applyFill="1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5" fillId="10" borderId="24" xfId="0" applyFont="1" applyFill="1" applyBorder="1" applyAlignment="1">
      <alignment horizontal="center" vertical="center" wrapText="1"/>
    </xf>
    <xf numFmtId="0" fontId="5" fillId="10" borderId="25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2" fillId="17" borderId="3" xfId="0" applyFont="1" applyFill="1" applyBorder="1" applyAlignment="1">
      <alignment horizontal="left" vertical="center" wrapText="1"/>
    </xf>
    <xf numFmtId="0" fontId="12" fillId="17" borderId="1" xfId="0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2" fillId="9" borderId="1" xfId="0" applyNumberFormat="1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0" fillId="9" borderId="1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horizontal="left" vertical="center"/>
    </xf>
    <xf numFmtId="0" fontId="12" fillId="15" borderId="4" xfId="0" applyFont="1" applyFill="1" applyBorder="1" applyAlignment="1">
      <alignment horizontal="left" vertical="center" wrapText="1"/>
    </xf>
    <xf numFmtId="0" fontId="10" fillId="15" borderId="4" xfId="0" applyFont="1" applyFill="1" applyBorder="1" applyAlignment="1">
      <alignment wrapText="1"/>
    </xf>
    <xf numFmtId="0" fontId="5" fillId="11" borderId="1" xfId="0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0" fontId="12" fillId="0" borderId="42" xfId="0" applyFont="1" applyFill="1" applyBorder="1" applyAlignment="1">
      <alignment horizontal="left" vertical="center" wrapText="1"/>
    </xf>
    <xf numFmtId="0" fontId="10" fillId="15" borderId="7" xfId="0" applyFont="1" applyFill="1" applyBorder="1" applyAlignment="1">
      <alignment wrapText="1"/>
    </xf>
    <xf numFmtId="49" fontId="12" fillId="0" borderId="8" xfId="0" applyNumberFormat="1" applyFont="1" applyFill="1" applyBorder="1" applyAlignment="1">
      <alignment horizontal="left" vertical="center" wrapText="1"/>
    </xf>
    <xf numFmtId="49" fontId="12" fillId="11" borderId="5" xfId="0" applyNumberFormat="1" applyFont="1" applyFill="1" applyBorder="1" applyAlignment="1">
      <alignment vertical="center" wrapText="1"/>
    </xf>
    <xf numFmtId="0" fontId="12" fillId="11" borderId="25" xfId="0" applyFont="1" applyFill="1" applyBorder="1" applyAlignment="1">
      <alignment horizontal="left" vertical="center" wrapText="1"/>
    </xf>
    <xf numFmtId="49" fontId="10" fillId="11" borderId="1" xfId="0" applyNumberFormat="1" applyFont="1" applyFill="1" applyBorder="1" applyAlignment="1">
      <alignment horizontal="left" vertical="center" wrapText="1"/>
    </xf>
    <xf numFmtId="0" fontId="12" fillId="11" borderId="1" xfId="0" applyFont="1" applyFill="1" applyBorder="1" applyAlignment="1">
      <alignment horizontal="left" vertical="center" wrapText="1"/>
    </xf>
    <xf numFmtId="0" fontId="12" fillId="11" borderId="42" xfId="0" applyFont="1" applyFill="1" applyBorder="1" applyAlignment="1">
      <alignment vertical="center" wrapText="1"/>
    </xf>
    <xf numFmtId="0" fontId="16" fillId="7" borderId="8" xfId="0" applyFont="1" applyFill="1" applyBorder="1" applyAlignment="1" applyProtection="1">
      <alignment vertical="center"/>
    </xf>
    <xf numFmtId="0" fontId="16" fillId="7" borderId="9" xfId="0" applyFont="1" applyFill="1" applyBorder="1" applyAlignment="1" applyProtection="1">
      <alignment horizontal="left" vertical="center"/>
    </xf>
    <xf numFmtId="176" fontId="16" fillId="7" borderId="9" xfId="0" applyNumberFormat="1" applyFont="1" applyFill="1" applyBorder="1" applyAlignment="1" applyProtection="1">
      <alignment horizontal="left" vertical="center"/>
    </xf>
    <xf numFmtId="176" fontId="16" fillId="7" borderId="10" xfId="0" applyNumberFormat="1" applyFont="1" applyFill="1" applyBorder="1" applyAlignment="1" applyProtection="1">
      <alignment horizontal="left" vertical="center"/>
    </xf>
    <xf numFmtId="0" fontId="12" fillId="0" borderId="3" xfId="0" applyFont="1" applyFill="1" applyBorder="1" applyAlignment="1">
      <alignment horizontal="left" vertical="center" wrapText="1"/>
    </xf>
    <xf numFmtId="0" fontId="12" fillId="9" borderId="1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3" fillId="9" borderId="36" xfId="0" applyFont="1" applyFill="1" applyBorder="1" applyAlignment="1">
      <alignment horizontal="left" vertical="center" wrapText="1"/>
    </xf>
    <xf numFmtId="0" fontId="13" fillId="6" borderId="37" xfId="0" applyFont="1" applyFill="1" applyBorder="1" applyAlignment="1">
      <alignment horizontal="left" vertical="center" wrapText="1"/>
    </xf>
    <xf numFmtId="0" fontId="13" fillId="0" borderId="35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3" fillId="0" borderId="43" xfId="0" applyFont="1" applyBorder="1" applyAlignment="1">
      <alignment horizontal="left" vertical="center" wrapText="1"/>
    </xf>
    <xf numFmtId="0" fontId="13" fillId="9" borderId="4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1" xfId="3" applyFont="1" applyFill="1" applyBorder="1" applyAlignment="1" applyProtection="1">
      <alignment vertical="center" wrapText="1"/>
    </xf>
    <xf numFmtId="0" fontId="1" fillId="10" borderId="1" xfId="0" applyFont="1" applyFill="1" applyBorder="1" applyAlignment="1" applyProtection="1">
      <alignment horizontal="right" vertical="center"/>
      <protection locked="0"/>
    </xf>
    <xf numFmtId="0" fontId="12" fillId="10" borderId="22" xfId="0" applyFont="1" applyFill="1" applyBorder="1" applyAlignment="1">
      <alignment horizontal="center" vertical="center" wrapText="1"/>
    </xf>
    <xf numFmtId="0" fontId="12" fillId="10" borderId="23" xfId="0" applyFont="1" applyFill="1" applyBorder="1" applyAlignment="1">
      <alignment horizontal="center" vertical="center" wrapText="1"/>
    </xf>
    <xf numFmtId="0" fontId="12" fillId="10" borderId="26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13" fillId="11" borderId="25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/>
    </xf>
    <xf numFmtId="0" fontId="13" fillId="11" borderId="9" xfId="0" applyFont="1" applyFill="1" applyBorder="1" applyAlignment="1">
      <alignment horizontal="left" vertical="center" wrapText="1"/>
    </xf>
    <xf numFmtId="0" fontId="13" fillId="19" borderId="9" xfId="0" applyFont="1" applyFill="1" applyBorder="1" applyAlignment="1">
      <alignment horizontal="left" vertical="center" wrapText="1"/>
    </xf>
    <xf numFmtId="0" fontId="13" fillId="19" borderId="9" xfId="0" applyFont="1" applyFill="1" applyBorder="1" applyAlignment="1">
      <alignment horizontal="left" vertical="center"/>
    </xf>
    <xf numFmtId="0" fontId="10" fillId="19" borderId="10" xfId="0" applyFont="1" applyFill="1" applyBorder="1" applyAlignment="1"/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11" borderId="6" xfId="0" applyFont="1" applyFill="1" applyBorder="1" applyAlignment="1">
      <alignment horizontal="left" vertical="center" wrapText="1"/>
    </xf>
    <xf numFmtId="0" fontId="13" fillId="6" borderId="6" xfId="0" applyFont="1" applyFill="1" applyBorder="1" applyAlignment="1">
      <alignment horizontal="left" vertical="center" wrapText="1"/>
    </xf>
    <xf numFmtId="0" fontId="13" fillId="19" borderId="6" xfId="0" applyFont="1" applyFill="1" applyBorder="1" applyAlignment="1">
      <alignment horizontal="left" vertical="center" wrapText="1"/>
    </xf>
    <xf numFmtId="0" fontId="13" fillId="19" borderId="6" xfId="0" applyFont="1" applyFill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0" fillId="19" borderId="7" xfId="0" applyFont="1" applyFill="1" applyBorder="1" applyAlignment="1"/>
    <xf numFmtId="0" fontId="10" fillId="0" borderId="2" xfId="0" applyFont="1" applyFill="1" applyBorder="1" applyAlignment="1">
      <alignment horizontal="left" vertical="center" wrapText="1"/>
    </xf>
    <xf numFmtId="0" fontId="12" fillId="11" borderId="6" xfId="0" applyFont="1" applyFill="1" applyBorder="1" applyAlignment="1">
      <alignment horizontal="left" vertical="center" wrapText="1"/>
    </xf>
    <xf numFmtId="0" fontId="12" fillId="20" borderId="42" xfId="0" applyFont="1" applyFill="1" applyBorder="1" applyAlignment="1">
      <alignment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12" fillId="20" borderId="18" xfId="0" applyFont="1" applyFill="1" applyBorder="1" applyAlignment="1">
      <alignment horizontal="left" vertical="center" wrapText="1"/>
    </xf>
    <xf numFmtId="0" fontId="15" fillId="7" borderId="13" xfId="0" applyFont="1" applyFill="1" applyBorder="1" applyAlignment="1" applyProtection="1">
      <alignment horizontal="center" vertical="center"/>
    </xf>
    <xf numFmtId="0" fontId="15" fillId="7" borderId="14" xfId="0" applyFont="1" applyFill="1" applyBorder="1" applyAlignment="1" applyProtection="1">
      <alignment horizontal="center" vertical="center"/>
    </xf>
    <xf numFmtId="0" fontId="15" fillId="7" borderId="16" xfId="0" applyFont="1" applyFill="1" applyBorder="1" applyAlignment="1" applyProtection="1">
      <alignment horizontal="center" vertical="center"/>
    </xf>
    <xf numFmtId="0" fontId="12" fillId="10" borderId="11" xfId="0" applyFont="1" applyFill="1" applyBorder="1" applyAlignment="1">
      <alignment horizontal="center" vertical="center" wrapText="1"/>
    </xf>
    <xf numFmtId="0" fontId="12" fillId="10" borderId="12" xfId="0" applyFont="1" applyFill="1" applyBorder="1" applyAlignment="1">
      <alignment horizontal="center" vertical="center" wrapText="1"/>
    </xf>
    <xf numFmtId="0" fontId="12" fillId="10" borderId="19" xfId="0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1" fillId="4" borderId="35" xfId="0" applyFont="1" applyFill="1" applyBorder="1" applyAlignment="1">
      <alignment horizontal="center" vertical="center" wrapText="1"/>
    </xf>
    <xf numFmtId="0" fontId="11" fillId="4" borderId="36" xfId="0" applyFont="1" applyFill="1" applyBorder="1" applyAlignment="1">
      <alignment horizontal="center" vertical="center" wrapText="1"/>
    </xf>
    <xf numFmtId="0" fontId="11" fillId="4" borderId="37" xfId="0" applyFont="1" applyFill="1" applyBorder="1" applyAlignment="1">
      <alignment horizontal="center" vertical="center" wrapText="1"/>
    </xf>
    <xf numFmtId="0" fontId="11" fillId="4" borderId="32" xfId="0" applyFont="1" applyFill="1" applyBorder="1" applyAlignment="1">
      <alignment horizontal="center" vertical="center" wrapText="1"/>
    </xf>
    <xf numFmtId="0" fontId="11" fillId="4" borderId="33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2" fillId="10" borderId="35" xfId="0" applyFont="1" applyFill="1" applyBorder="1" applyAlignment="1">
      <alignment horizontal="center" vertical="center" wrapText="1"/>
    </xf>
    <xf numFmtId="0" fontId="12" fillId="10" borderId="36" xfId="0" applyFont="1" applyFill="1" applyBorder="1" applyAlignment="1">
      <alignment horizontal="center" vertical="center" wrapText="1"/>
    </xf>
    <xf numFmtId="0" fontId="12" fillId="10" borderId="37" xfId="0" applyFont="1" applyFill="1" applyBorder="1" applyAlignment="1">
      <alignment horizontal="center" vertical="center" wrapText="1"/>
    </xf>
    <xf numFmtId="0" fontId="12" fillId="10" borderId="22" xfId="0" applyFont="1" applyFill="1" applyBorder="1" applyAlignment="1">
      <alignment horizontal="center" vertical="center" wrapText="1"/>
    </xf>
    <xf numFmtId="0" fontId="12" fillId="10" borderId="23" xfId="0" applyFont="1" applyFill="1" applyBorder="1" applyAlignment="1">
      <alignment horizontal="center" vertical="center" wrapText="1"/>
    </xf>
    <xf numFmtId="0" fontId="10" fillId="0" borderId="26" xfId="0" applyFont="1" applyBorder="1" applyAlignment="1"/>
    <xf numFmtId="0" fontId="12" fillId="10" borderId="13" xfId="0" applyFont="1" applyFill="1" applyBorder="1" applyAlignment="1">
      <alignment horizontal="center" vertical="center" wrapText="1"/>
    </xf>
    <xf numFmtId="0" fontId="12" fillId="10" borderId="14" xfId="0" applyFont="1" applyFill="1" applyBorder="1" applyAlignment="1">
      <alignment horizontal="center" vertical="center" wrapText="1"/>
    </xf>
    <xf numFmtId="0" fontId="12" fillId="10" borderId="16" xfId="0" applyFont="1" applyFill="1" applyBorder="1" applyAlignment="1">
      <alignment horizontal="center" vertical="center" wrapText="1"/>
    </xf>
    <xf numFmtId="0" fontId="12" fillId="10" borderId="26" xfId="0" applyFont="1" applyFill="1" applyBorder="1" applyAlignment="1">
      <alignment horizontal="center" vertical="center" wrapText="1"/>
    </xf>
    <xf numFmtId="0" fontId="10" fillId="18" borderId="7" xfId="0" applyFont="1" applyFill="1" applyBorder="1" applyAlignment="1">
      <alignment horizontal="left" wrapText="1"/>
    </xf>
    <xf numFmtId="0" fontId="10" fillId="18" borderId="21" xfId="0" applyFont="1" applyFill="1" applyBorder="1" applyAlignment="1">
      <alignment horizontal="left" wrapText="1"/>
    </xf>
    <xf numFmtId="0" fontId="5" fillId="10" borderId="1" xfId="0" applyFont="1" applyFill="1" applyBorder="1" applyAlignment="1">
      <alignment horizontal="center" vertical="center" wrapText="1"/>
    </xf>
    <xf numFmtId="0" fontId="5" fillId="0" borderId="18" xfId="0" applyFont="1" applyBorder="1">
      <alignment vertical="center"/>
    </xf>
    <xf numFmtId="0" fontId="5" fillId="0" borderId="44" xfId="0" applyFont="1" applyBorder="1" applyAlignment="1">
      <alignment vertical="center" wrapText="1"/>
    </xf>
    <xf numFmtId="0" fontId="5" fillId="0" borderId="27" xfId="0" applyFont="1" applyBorder="1">
      <alignment vertical="center"/>
    </xf>
  </cellXfs>
  <cellStyles count="9">
    <cellStyle name="標準 102" xfId="1"/>
    <cellStyle name="常规" xfId="0" builtinId="0"/>
    <cellStyle name="常规 2" xfId="3"/>
    <cellStyle name="常规 2 2" xfId="2"/>
    <cellStyle name="常规 3" xfId="4"/>
    <cellStyle name="常规 4" xfId="6"/>
    <cellStyle name="常规 5" xfId="7"/>
    <cellStyle name="常规_Sheet1" xfId="8"/>
    <cellStyle name="千位分隔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-1</xdr:colOff>
      <xdr:row>68</xdr:row>
      <xdr:rowOff>0</xdr:rowOff>
    </xdr:from>
    <xdr:to>
      <xdr:col>23</xdr:col>
      <xdr:colOff>561</xdr:colOff>
      <xdr:row>71</xdr:row>
      <xdr:rowOff>522193</xdr:rowOff>
    </xdr:to>
    <xdr:sp macro="" textlink="">
      <xdr:nvSpPr>
        <xdr:cNvPr id="5" name="文本框 4"/>
        <xdr:cNvSpPr txBox="1"/>
      </xdr:nvSpPr>
      <xdr:spPr>
        <a:xfrm>
          <a:off x="22117049" y="25641300"/>
          <a:ext cx="3429562" cy="38845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的成组生效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-1</xdr:colOff>
      <xdr:row>68</xdr:row>
      <xdr:rowOff>0</xdr:rowOff>
    </xdr:from>
    <xdr:to>
      <xdr:col>23</xdr:col>
      <xdr:colOff>561</xdr:colOff>
      <xdr:row>71</xdr:row>
      <xdr:rowOff>522193</xdr:rowOff>
    </xdr:to>
    <xdr:sp macro="" textlink="">
      <xdr:nvSpPr>
        <xdr:cNvPr id="3" name="文本框 2"/>
        <xdr:cNvSpPr txBox="1"/>
      </xdr:nvSpPr>
      <xdr:spPr>
        <a:xfrm>
          <a:off x="22117049" y="25641300"/>
          <a:ext cx="3429562" cy="38845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的成组生效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-1</xdr:colOff>
      <xdr:row>68</xdr:row>
      <xdr:rowOff>0</xdr:rowOff>
    </xdr:from>
    <xdr:to>
      <xdr:col>23</xdr:col>
      <xdr:colOff>561</xdr:colOff>
      <xdr:row>71</xdr:row>
      <xdr:rowOff>522193</xdr:rowOff>
    </xdr:to>
    <xdr:sp macro="" textlink="">
      <xdr:nvSpPr>
        <xdr:cNvPr id="3" name="文本框 2"/>
        <xdr:cNvSpPr txBox="1"/>
      </xdr:nvSpPr>
      <xdr:spPr>
        <a:xfrm>
          <a:off x="22126574" y="25641300"/>
          <a:ext cx="3429562" cy="38845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的成组生效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-1</xdr:colOff>
      <xdr:row>68</xdr:row>
      <xdr:rowOff>0</xdr:rowOff>
    </xdr:from>
    <xdr:to>
      <xdr:col>23</xdr:col>
      <xdr:colOff>561</xdr:colOff>
      <xdr:row>71</xdr:row>
      <xdr:rowOff>522193</xdr:rowOff>
    </xdr:to>
    <xdr:sp macro="" textlink="">
      <xdr:nvSpPr>
        <xdr:cNvPr id="4" name="文本框 3"/>
        <xdr:cNvSpPr txBox="1"/>
      </xdr:nvSpPr>
      <xdr:spPr>
        <a:xfrm>
          <a:off x="22126574" y="25641300"/>
          <a:ext cx="3429562" cy="38845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的成组生效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B10" sqref="B10"/>
    </sheetView>
  </sheetViews>
  <sheetFormatPr defaultColWidth="9" defaultRowHeight="13.5"/>
  <cols>
    <col min="1" max="1" width="11.875" customWidth="1"/>
    <col min="2" max="2" width="77.625" customWidth="1"/>
    <col min="3" max="3" width="13.625" customWidth="1"/>
  </cols>
  <sheetData>
    <row r="1" spans="1:3" ht="13.5" customHeight="1">
      <c r="A1" s="8" t="s">
        <v>0</v>
      </c>
      <c r="B1" s="8" t="s">
        <v>1</v>
      </c>
      <c r="C1" s="8" t="s">
        <v>2</v>
      </c>
    </row>
    <row r="2" spans="1:3">
      <c r="A2" s="9" t="s">
        <v>3</v>
      </c>
      <c r="B2" s="11" t="s">
        <v>474</v>
      </c>
      <c r="C2" s="10" t="s">
        <v>475</v>
      </c>
    </row>
    <row r="3" spans="1:3" ht="27">
      <c r="A3" s="10" t="s">
        <v>479</v>
      </c>
      <c r="B3" s="11" t="s">
        <v>480</v>
      </c>
      <c r="C3" s="10" t="s">
        <v>481</v>
      </c>
    </row>
    <row r="4" spans="1:3" ht="27">
      <c r="A4" s="272" t="s">
        <v>482</v>
      </c>
      <c r="B4" s="273" t="s">
        <v>484</v>
      </c>
      <c r="C4" s="274" t="s">
        <v>483</v>
      </c>
    </row>
    <row r="5" spans="1:3">
      <c r="A5" s="272" t="s">
        <v>920</v>
      </c>
      <c r="B5" s="273" t="s">
        <v>921</v>
      </c>
      <c r="C5" s="274" t="s">
        <v>922</v>
      </c>
    </row>
  </sheetData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0"/>
  <sheetViews>
    <sheetView topLeftCell="B1" workbookViewId="0">
      <selection activeCell="C9" sqref="C9"/>
    </sheetView>
  </sheetViews>
  <sheetFormatPr defaultRowHeight="13.5"/>
  <cols>
    <col min="1" max="1" width="19.25" hidden="1" customWidth="1"/>
    <col min="2" max="2" width="33.25" customWidth="1"/>
    <col min="3" max="3" width="16.625" customWidth="1"/>
    <col min="4" max="4" width="10.5" customWidth="1"/>
    <col min="16" max="16" width="9.5" bestFit="1" customWidth="1"/>
    <col min="31" max="31" width="10.875" customWidth="1"/>
  </cols>
  <sheetData>
    <row r="1" spans="1:4">
      <c r="A1" s="12" t="s">
        <v>4</v>
      </c>
      <c r="B1" s="12"/>
      <c r="C1" s="13"/>
    </row>
    <row r="2" spans="1:4">
      <c r="A2" s="6" t="s">
        <v>5</v>
      </c>
      <c r="B2" s="6" t="s">
        <v>6</v>
      </c>
      <c r="C2" s="6">
        <f>C70</f>
        <v>4096</v>
      </c>
    </row>
    <row r="3" spans="1:4">
      <c r="A3" s="6" t="s">
        <v>7</v>
      </c>
      <c r="B3" s="6" t="s">
        <v>8</v>
      </c>
      <c r="C3" s="6">
        <f>C71</f>
        <v>3000</v>
      </c>
    </row>
    <row r="4" spans="1:4">
      <c r="A4" s="12" t="s">
        <v>9</v>
      </c>
      <c r="B4" s="12" t="s">
        <v>10</v>
      </c>
      <c r="C4" s="14">
        <v>4096</v>
      </c>
      <c r="D4" s="15" t="str">
        <f>IF(OR(C4&gt;C2,C4&lt;8),B41,"")</f>
        <v/>
      </c>
    </row>
    <row r="5" spans="1:4">
      <c r="A5" s="12" t="s">
        <v>11</v>
      </c>
      <c r="B5" s="12" t="s">
        <v>12</v>
      </c>
      <c r="C5" s="14">
        <v>3000</v>
      </c>
      <c r="D5" s="15" t="str">
        <f>IF(OR(C5&gt;C3,C5&lt;8),B42,"")</f>
        <v/>
      </c>
    </row>
    <row r="6" spans="1:4" hidden="1">
      <c r="A6" s="6" t="s">
        <v>13</v>
      </c>
      <c r="B6" s="6" t="s">
        <v>14</v>
      </c>
      <c r="C6" s="7">
        <v>1</v>
      </c>
    </row>
    <row r="7" spans="1:4" hidden="1">
      <c r="A7" s="6" t="s">
        <v>15</v>
      </c>
      <c r="B7" s="6" t="s">
        <v>16</v>
      </c>
      <c r="C7" s="7">
        <v>1</v>
      </c>
    </row>
    <row r="8" spans="1:4">
      <c r="A8" s="6" t="s">
        <v>17</v>
      </c>
      <c r="B8" s="6" t="s">
        <v>469</v>
      </c>
      <c r="C8" s="7">
        <v>1</v>
      </c>
      <c r="D8" s="16" t="str">
        <f>IF(C8&lt;&gt;C9,B44,"")</f>
        <v/>
      </c>
    </row>
    <row r="9" spans="1:4">
      <c r="A9" s="6" t="s">
        <v>18</v>
      </c>
      <c r="B9" s="6" t="s">
        <v>470</v>
      </c>
      <c r="C9" s="7">
        <v>1</v>
      </c>
      <c r="D9" s="16"/>
    </row>
    <row r="10" spans="1:4">
      <c r="A10" s="12" t="s">
        <v>19</v>
      </c>
      <c r="B10" s="12" t="s">
        <v>20</v>
      </c>
      <c r="C10" s="14">
        <v>40000</v>
      </c>
    </row>
    <row r="11" spans="1:4">
      <c r="A11" s="12" t="s">
        <v>21</v>
      </c>
      <c r="B11" s="12" t="s">
        <v>22</v>
      </c>
      <c r="C11" s="14">
        <v>0</v>
      </c>
    </row>
    <row r="12" spans="1:4">
      <c r="A12" s="12" t="s">
        <v>23</v>
      </c>
      <c r="B12" s="12" t="s">
        <v>476</v>
      </c>
      <c r="C12" s="221">
        <v>8</v>
      </c>
    </row>
    <row r="13" spans="1:4">
      <c r="A13" s="12" t="s">
        <v>24</v>
      </c>
      <c r="B13" s="12" t="s">
        <v>25</v>
      </c>
      <c r="C13" s="14">
        <v>1500</v>
      </c>
    </row>
    <row r="14" spans="1:4">
      <c r="A14" s="12" t="s">
        <v>26</v>
      </c>
      <c r="B14" s="12" t="s">
        <v>27</v>
      </c>
      <c r="C14" s="14">
        <v>0</v>
      </c>
    </row>
    <row r="15" spans="1:4">
      <c r="A15" s="12" t="s">
        <v>28</v>
      </c>
      <c r="B15" s="12" t="s">
        <v>29</v>
      </c>
      <c r="C15" s="17">
        <f>J73</f>
        <v>1126608</v>
      </c>
    </row>
    <row r="16" spans="1:4">
      <c r="A16" s="12" t="s">
        <v>30</v>
      </c>
      <c r="B16" s="12" t="s">
        <v>31</v>
      </c>
      <c r="C16" s="14">
        <v>24</v>
      </c>
    </row>
    <row r="17" spans="1:4">
      <c r="A17" s="12" t="s">
        <v>32</v>
      </c>
      <c r="B17" s="12" t="s">
        <v>33</v>
      </c>
      <c r="C17" s="14">
        <v>0</v>
      </c>
    </row>
    <row r="18" spans="1:4">
      <c r="A18" s="12" t="s">
        <v>34</v>
      </c>
      <c r="B18" s="12" t="s">
        <v>35</v>
      </c>
      <c r="C18" s="14">
        <v>2500</v>
      </c>
    </row>
    <row r="19" spans="1:4">
      <c r="A19" s="12" t="s">
        <v>36</v>
      </c>
      <c r="B19" s="12" t="s">
        <v>37</v>
      </c>
      <c r="C19" s="14">
        <v>5</v>
      </c>
    </row>
    <row r="20" spans="1:4">
      <c r="A20" s="12" t="s">
        <v>38</v>
      </c>
      <c r="B20" s="12" t="s">
        <v>39</v>
      </c>
      <c r="C20" s="17">
        <f>J75</f>
        <v>99</v>
      </c>
    </row>
    <row r="21" spans="1:4">
      <c r="A21" s="17" t="s">
        <v>46</v>
      </c>
      <c r="B21" s="17" t="s">
        <v>47</v>
      </c>
      <c r="C21" s="14">
        <v>0</v>
      </c>
    </row>
    <row r="22" spans="1:4">
      <c r="A22" s="12"/>
      <c r="B22" s="12"/>
      <c r="C22" s="17"/>
    </row>
    <row r="23" spans="1:4" ht="14.25">
      <c r="A23" s="18" t="s">
        <v>44</v>
      </c>
      <c r="B23" s="18"/>
      <c r="C23" s="19"/>
    </row>
    <row r="24" spans="1:4" ht="14.25">
      <c r="A24" s="18" t="s">
        <v>43</v>
      </c>
      <c r="B24" s="18" t="s">
        <v>45</v>
      </c>
      <c r="C24" s="20">
        <f>D94</f>
        <v>22.8712576904604</v>
      </c>
      <c r="D24" s="15" t="str">
        <f>IF(B39=1,B43,"")</f>
        <v/>
      </c>
    </row>
    <row r="37" spans="1:46" hidden="1"/>
    <row r="38" spans="1:46" hidden="1">
      <c r="B38" s="5" t="s">
        <v>472</v>
      </c>
    </row>
    <row r="39" spans="1:46" hidden="1">
      <c r="B39">
        <f>IF(OR(OR(C4&gt;C2,C4&lt;8),OR(C5&gt;C3,C5&lt;8)),1,0)</f>
        <v>0</v>
      </c>
    </row>
    <row r="40" spans="1:46" hidden="1">
      <c r="B40" s="5" t="s">
        <v>467</v>
      </c>
    </row>
    <row r="41" spans="1:46" hidden="1">
      <c r="B41" s="5" t="s">
        <v>466</v>
      </c>
    </row>
    <row r="42" spans="1:46" hidden="1">
      <c r="B42" s="5" t="s">
        <v>473</v>
      </c>
    </row>
    <row r="43" spans="1:46" hidden="1">
      <c r="B43" s="5" t="s">
        <v>468</v>
      </c>
    </row>
    <row r="44" spans="1:46" hidden="1">
      <c r="B44" s="5" t="s">
        <v>471</v>
      </c>
    </row>
    <row r="45" spans="1:46" hidden="1"/>
    <row r="46" spans="1:46" hidden="1">
      <c r="B46" s="5"/>
    </row>
    <row r="47" spans="1:46" s="21" customFormat="1" ht="30" hidden="1" customHeight="1" thickBot="1"/>
    <row r="48" spans="1:46" s="21" customFormat="1" ht="30" hidden="1" customHeight="1" thickBot="1">
      <c r="A48" s="22" t="s">
        <v>91</v>
      </c>
      <c r="B48" s="22" t="s">
        <v>92</v>
      </c>
      <c r="C48" s="23" t="s">
        <v>218</v>
      </c>
      <c r="D48" s="23" t="s">
        <v>219</v>
      </c>
      <c r="E48" s="251" t="s">
        <v>220</v>
      </c>
      <c r="F48" s="24"/>
      <c r="G48" s="253" t="s">
        <v>93</v>
      </c>
      <c r="H48" s="254"/>
      <c r="I48" s="254"/>
      <c r="J48" s="254"/>
      <c r="K48" s="255"/>
      <c r="L48" s="25"/>
      <c r="M48" s="253" t="s">
        <v>150</v>
      </c>
      <c r="N48" s="254"/>
      <c r="O48" s="254"/>
      <c r="P48" s="254"/>
      <c r="Q48" s="255"/>
      <c r="R48" s="25"/>
      <c r="S48" s="256" t="s">
        <v>151</v>
      </c>
      <c r="T48" s="257"/>
      <c r="U48" s="257"/>
      <c r="V48" s="257"/>
      <c r="W48" s="257"/>
      <c r="X48" s="257"/>
      <c r="Y48" s="257"/>
      <c r="Z48" s="257"/>
      <c r="AA48" s="257"/>
      <c r="AB48" s="257"/>
      <c r="AC48" s="257"/>
      <c r="AD48" s="257"/>
      <c r="AE48" s="257"/>
      <c r="AF48" s="257"/>
      <c r="AG48" s="257"/>
      <c r="AH48" s="257"/>
      <c r="AI48" s="257"/>
      <c r="AJ48" s="257"/>
      <c r="AK48" s="257"/>
      <c r="AL48" s="257"/>
      <c r="AM48" s="257"/>
      <c r="AN48" s="257"/>
      <c r="AO48" s="257"/>
      <c r="AP48" s="257"/>
      <c r="AQ48" s="257"/>
      <c r="AR48" s="257"/>
      <c r="AS48" s="257"/>
      <c r="AT48" s="258"/>
    </row>
    <row r="49" spans="1:46" s="21" customFormat="1" ht="30" hidden="1" customHeight="1" thickBot="1">
      <c r="A49" s="22" t="s">
        <v>148</v>
      </c>
      <c r="B49" s="22" t="s">
        <v>149</v>
      </c>
      <c r="C49" s="23" t="s">
        <v>216</v>
      </c>
      <c r="D49" s="23" t="s">
        <v>221</v>
      </c>
      <c r="E49" s="252"/>
      <c r="F49" s="24"/>
      <c r="G49" s="259" t="s">
        <v>43</v>
      </c>
      <c r="H49" s="260"/>
      <c r="I49" s="260"/>
      <c r="J49" s="260"/>
      <c r="K49" s="261"/>
      <c r="L49" s="25"/>
      <c r="M49" s="259" t="s">
        <v>204</v>
      </c>
      <c r="N49" s="260"/>
      <c r="O49" s="260"/>
      <c r="P49" s="260"/>
      <c r="Q49" s="261"/>
      <c r="R49" s="25"/>
      <c r="S49" s="26" t="s">
        <v>153</v>
      </c>
      <c r="T49" s="27" t="s">
        <v>154</v>
      </c>
      <c r="U49" s="27" t="s">
        <v>562</v>
      </c>
      <c r="V49" s="27" t="s">
        <v>223</v>
      </c>
      <c r="W49" s="27" t="s">
        <v>155</v>
      </c>
      <c r="X49" s="27" t="s">
        <v>156</v>
      </c>
      <c r="Y49" s="27" t="s">
        <v>197</v>
      </c>
      <c r="Z49" s="27" t="s">
        <v>198</v>
      </c>
      <c r="AA49" s="27" t="s">
        <v>199</v>
      </c>
      <c r="AB49" s="27" t="s">
        <v>200</v>
      </c>
      <c r="AC49" s="27" t="s">
        <v>201</v>
      </c>
      <c r="AD49" s="27" t="s">
        <v>202</v>
      </c>
      <c r="AE49" s="27" t="s">
        <v>224</v>
      </c>
      <c r="AF49" s="27" t="s">
        <v>225</v>
      </c>
      <c r="AG49" s="27" t="s">
        <v>226</v>
      </c>
      <c r="AH49" s="27" t="s">
        <v>227</v>
      </c>
      <c r="AI49" s="27" t="s">
        <v>228</v>
      </c>
      <c r="AJ49" s="27" t="s">
        <v>229</v>
      </c>
      <c r="AK49" s="27" t="s">
        <v>563</v>
      </c>
      <c r="AL49" s="27" t="s">
        <v>231</v>
      </c>
      <c r="AM49" s="27" t="s">
        <v>564</v>
      </c>
      <c r="AN49" s="27" t="s">
        <v>233</v>
      </c>
      <c r="AO49" s="27" t="s">
        <v>234</v>
      </c>
      <c r="AP49" s="27" t="s">
        <v>565</v>
      </c>
      <c r="AQ49" s="27" t="s">
        <v>236</v>
      </c>
      <c r="AR49" s="27" t="s">
        <v>237</v>
      </c>
      <c r="AS49" s="27" t="s">
        <v>238</v>
      </c>
      <c r="AT49" s="28" t="s">
        <v>566</v>
      </c>
    </row>
    <row r="50" spans="1:46" s="21" customFormat="1" ht="30" hidden="1" customHeight="1" thickBot="1">
      <c r="A50" s="253" t="s">
        <v>152</v>
      </c>
      <c r="B50" s="254"/>
      <c r="C50" s="254"/>
      <c r="D50" s="254"/>
      <c r="E50" s="255"/>
      <c r="F50" s="24"/>
      <c r="G50" s="29" t="s">
        <v>96</v>
      </c>
      <c r="H50" s="30" t="s">
        <v>94</v>
      </c>
      <c r="I50" s="30" t="s">
        <v>98</v>
      </c>
      <c r="J50" s="30" t="s">
        <v>99</v>
      </c>
      <c r="K50" s="31" t="s">
        <v>100</v>
      </c>
      <c r="L50" s="25"/>
      <c r="M50" s="32" t="s">
        <v>96</v>
      </c>
      <c r="N50" s="33" t="s">
        <v>94</v>
      </c>
      <c r="O50" s="33" t="s">
        <v>98</v>
      </c>
      <c r="P50" s="33" t="s">
        <v>157</v>
      </c>
      <c r="Q50" s="34" t="s">
        <v>100</v>
      </c>
      <c r="R50" s="25"/>
      <c r="S50" s="35" t="s">
        <v>567</v>
      </c>
      <c r="T50" s="36" t="s">
        <v>241</v>
      </c>
      <c r="U50" s="36">
        <v>37500</v>
      </c>
      <c r="V50" s="37">
        <v>75</v>
      </c>
      <c r="W50" s="38">
        <v>1</v>
      </c>
      <c r="X50" s="37">
        <v>8</v>
      </c>
      <c r="Y50" s="38">
        <v>0</v>
      </c>
      <c r="Z50" s="38">
        <v>0</v>
      </c>
      <c r="AA50" s="36">
        <f>5328/D86</f>
        <v>5328</v>
      </c>
      <c r="AB50" s="36">
        <v>8</v>
      </c>
      <c r="AC50" s="36">
        <v>5328</v>
      </c>
      <c r="AD50" s="36">
        <v>4608</v>
      </c>
      <c r="AE50" s="39">
        <f>IF(OR(D85=2,D86=2),IF(D53=8,198,283.5),IF(D53=8,364.5,565.5))</f>
        <v>364.5</v>
      </c>
      <c r="AF50" s="40">
        <v>110</v>
      </c>
      <c r="AG50" s="39">
        <v>26</v>
      </c>
      <c r="AH50" s="39">
        <v>2460</v>
      </c>
      <c r="AI50" s="39"/>
      <c r="AJ50" s="36" t="s">
        <v>242</v>
      </c>
      <c r="AK50" s="37">
        <v>60000</v>
      </c>
      <c r="AL50" s="39">
        <v>5328</v>
      </c>
      <c r="AM50" s="39">
        <v>4608</v>
      </c>
      <c r="AN50" s="36">
        <v>12</v>
      </c>
      <c r="AO50" s="36">
        <v>312.5</v>
      </c>
      <c r="AP50" s="36">
        <v>0</v>
      </c>
      <c r="AQ50" s="36" t="s">
        <v>243</v>
      </c>
      <c r="AR50" s="36">
        <v>0</v>
      </c>
      <c r="AS50" s="36">
        <v>20</v>
      </c>
      <c r="AT50" s="36">
        <f>IF(OR(D85=2,D86=2),IF(D53=8,430,568),IF(D53=8,730,1132))</f>
        <v>730</v>
      </c>
    </row>
    <row r="51" spans="1:46" s="21" customFormat="1" ht="30" hidden="1" customHeight="1" thickBot="1">
      <c r="A51" s="32" t="s">
        <v>96</v>
      </c>
      <c r="B51" s="33" t="s">
        <v>94</v>
      </c>
      <c r="C51" s="33" t="s">
        <v>97</v>
      </c>
      <c r="D51" s="33" t="s">
        <v>95</v>
      </c>
      <c r="E51" s="41" t="s">
        <v>100</v>
      </c>
      <c r="F51" s="24"/>
      <c r="G51" s="42" t="s">
        <v>568</v>
      </c>
      <c r="H51" s="37" t="s">
        <v>50</v>
      </c>
      <c r="I51" s="37" t="s">
        <v>569</v>
      </c>
      <c r="J51" s="226">
        <f>IF(D56="Standard",ROUNDUP(1000000*P55/P52,0),ROUNDUP(1000000*P56/75294,0))</f>
        <v>8480</v>
      </c>
      <c r="K51" s="43" t="s">
        <v>104</v>
      </c>
      <c r="L51" s="25"/>
      <c r="M51" s="44" t="s">
        <v>49</v>
      </c>
      <c r="N51" s="45" t="s">
        <v>48</v>
      </c>
      <c r="O51" s="45" t="s">
        <v>205</v>
      </c>
      <c r="P51" s="46">
        <f>VLOOKUP($C$48,$S$50:$AQ$58,4,FALSE)</f>
        <v>75.293999999999997</v>
      </c>
      <c r="Q51" s="47" t="s">
        <v>147</v>
      </c>
      <c r="R51" s="25"/>
      <c r="S51" s="48" t="s">
        <v>526</v>
      </c>
      <c r="T51" s="49" t="s">
        <v>246</v>
      </c>
      <c r="U51" s="49">
        <v>37500</v>
      </c>
      <c r="V51" s="49">
        <v>75</v>
      </c>
      <c r="W51" s="50">
        <v>1</v>
      </c>
      <c r="X51" s="50">
        <v>8</v>
      </c>
      <c r="Y51" s="50">
        <v>4</v>
      </c>
      <c r="Z51" s="50">
        <v>4</v>
      </c>
      <c r="AA51" s="49">
        <f>4504/D86</f>
        <v>4504</v>
      </c>
      <c r="AB51" s="49">
        <v>8</v>
      </c>
      <c r="AC51" s="49">
        <v>4504</v>
      </c>
      <c r="AD51" s="49">
        <v>4504</v>
      </c>
      <c r="AE51" s="51">
        <f>IF(OR(D85=2,D86=2),IF(D53=8,214.5,239.25),IF(D53=8,313.5,478.5))</f>
        <v>313.5</v>
      </c>
      <c r="AF51" s="51">
        <v>124</v>
      </c>
      <c r="AG51" s="52">
        <v>30</v>
      </c>
      <c r="AH51" s="52">
        <v>2460</v>
      </c>
      <c r="AI51" s="51"/>
      <c r="AJ51" s="49" t="s">
        <v>242</v>
      </c>
      <c r="AK51" s="53">
        <v>60000</v>
      </c>
      <c r="AL51" s="51">
        <v>4504</v>
      </c>
      <c r="AM51" s="51">
        <v>4504</v>
      </c>
      <c r="AN51" s="53">
        <v>14</v>
      </c>
      <c r="AO51" s="53">
        <v>312.5</v>
      </c>
      <c r="AP51" s="53">
        <v>0</v>
      </c>
      <c r="AQ51" s="53" t="s">
        <v>243</v>
      </c>
      <c r="AR51" s="53">
        <v>0</v>
      </c>
      <c r="AS51" s="53">
        <v>20</v>
      </c>
      <c r="AT51" s="36">
        <f>IF(OR(D85=2,D86=2),IF(D53=8,430,480),IF(D53=8,628,958))</f>
        <v>628</v>
      </c>
    </row>
    <row r="52" spans="1:46" s="21" customFormat="1" ht="181.5" hidden="1" customHeight="1" thickBot="1">
      <c r="A52" s="259" t="s">
        <v>23</v>
      </c>
      <c r="B52" s="260"/>
      <c r="C52" s="260"/>
      <c r="D52" s="260"/>
      <c r="E52" s="261"/>
      <c r="F52" s="24"/>
      <c r="G52" s="54" t="s">
        <v>207</v>
      </c>
      <c r="H52" s="55" t="s">
        <v>42</v>
      </c>
      <c r="I52" s="56" t="s">
        <v>247</v>
      </c>
      <c r="J52" s="57">
        <f>IF(D56="Ultrashort",IF(D62=1,IF(D64="HighSpeed",ROUNDUP(MAX(J55,J56,J57),0),ROUNDUP(MAX(J55,J56,J57,P96),0)),ROUNDUP(MAX(J55,J56,J57,J58),0)),IF(D62=1,IF(D64="HighSpeed",IF(D55="TriggerWidth",ROUNDUP(MAX(J55,J77,J57)*J51/1000,0),ROUNDUP(MAX(J55,J56,J57)*J51/1000,0)),IF(D55="TriggerWidth",ROUNDUP(MAX(J55,J77,J57,P96)*J51/1000,0),ROUNDUP(MAX(J55,J56,J57,P96)*J51/1000,0))),ROUNDUP(MAX(J55,J56,J57,J58)*J51/1000,0)))</f>
        <v>43723</v>
      </c>
      <c r="K52" s="54" t="s">
        <v>110</v>
      </c>
      <c r="M52" s="58" t="s">
        <v>248</v>
      </c>
      <c r="N52" s="59" t="s">
        <v>249</v>
      </c>
      <c r="O52" s="59" t="s">
        <v>250</v>
      </c>
      <c r="P52" s="60">
        <f>VLOOKUP($C$48,$S$50:$AS$58,3,FALSE)</f>
        <v>37647</v>
      </c>
      <c r="Q52" s="47" t="s">
        <v>570</v>
      </c>
      <c r="S52" s="48" t="s">
        <v>252</v>
      </c>
      <c r="T52" s="49" t="s">
        <v>253</v>
      </c>
      <c r="U52" s="226">
        <v>37647</v>
      </c>
      <c r="V52" s="226">
        <v>75.293999999999997</v>
      </c>
      <c r="W52" s="50">
        <v>1</v>
      </c>
      <c r="X52" s="50">
        <v>8</v>
      </c>
      <c r="Y52" s="50">
        <v>0</v>
      </c>
      <c r="Z52" s="50">
        <v>0</v>
      </c>
      <c r="AA52" s="49">
        <f>5328/D86</f>
        <v>5328</v>
      </c>
      <c r="AB52" s="49">
        <v>8</v>
      </c>
      <c r="AC52" s="49">
        <v>5328</v>
      </c>
      <c r="AD52" s="49">
        <v>3040</v>
      </c>
      <c r="AE52" s="227">
        <f>IF(OR(D85=2,D86=2),IF(D53=8,215.3,IF(D53="rgb888",623.4,415.6)),IF(D53=8,415.6,IF(D53="rgb888",1245.4,829.7)))</f>
        <v>415.6</v>
      </c>
      <c r="AF52" s="51">
        <v>110</v>
      </c>
      <c r="AG52" s="52">
        <v>26</v>
      </c>
      <c r="AH52" s="39">
        <v>2460</v>
      </c>
      <c r="AI52" s="51"/>
      <c r="AJ52" s="36" t="s">
        <v>158</v>
      </c>
      <c r="AK52" s="37">
        <v>50000</v>
      </c>
      <c r="AL52" s="51">
        <v>5328</v>
      </c>
      <c r="AM52" s="51">
        <v>3040</v>
      </c>
      <c r="AN52" s="53">
        <v>18</v>
      </c>
      <c r="AO52" s="36">
        <v>312.5</v>
      </c>
      <c r="AP52" s="36">
        <v>0</v>
      </c>
      <c r="AQ52" s="36" t="s">
        <v>216</v>
      </c>
      <c r="AR52" s="36">
        <v>0</v>
      </c>
      <c r="AS52" s="36">
        <v>20</v>
      </c>
      <c r="AT52" s="226">
        <f>IF(OR(D85=2,D86=2),IF(D53=8,428,IF(D53="rgb888",1244,828)),IF(D53=8,828,IF(D53="rgb888",2488,1656)))</f>
        <v>828</v>
      </c>
    </row>
    <row r="53" spans="1:46" s="21" customFormat="1" ht="30" hidden="1" customHeight="1" thickBot="1">
      <c r="A53" s="61" t="s">
        <v>206</v>
      </c>
      <c r="B53" s="62" t="s">
        <v>23</v>
      </c>
      <c r="C53" s="62">
        <v>8</v>
      </c>
      <c r="D53" s="63">
        <f>C12</f>
        <v>8</v>
      </c>
      <c r="E53" s="64" t="s">
        <v>142</v>
      </c>
      <c r="F53" s="24"/>
      <c r="G53" s="65" t="s">
        <v>208</v>
      </c>
      <c r="H53" s="66" t="s">
        <v>43</v>
      </c>
      <c r="I53" s="67" t="s">
        <v>209</v>
      </c>
      <c r="J53" s="68">
        <f>1000000/J52</f>
        <v>22.8712576904604</v>
      </c>
      <c r="K53" s="65" t="s">
        <v>113</v>
      </c>
      <c r="M53" s="58" t="s">
        <v>254</v>
      </c>
      <c r="N53" s="69" t="s">
        <v>255</v>
      </c>
      <c r="O53" s="69" t="s">
        <v>256</v>
      </c>
      <c r="P53" s="70">
        <f>VLOOKUP($C$48,$S$50:$AS$58,7,FALSE)</f>
        <v>16</v>
      </c>
      <c r="Q53" s="71" t="s">
        <v>159</v>
      </c>
      <c r="S53" s="72" t="s">
        <v>257</v>
      </c>
      <c r="T53" s="73" t="s">
        <v>571</v>
      </c>
      <c r="U53" s="228">
        <v>37647</v>
      </c>
      <c r="V53" s="228">
        <v>75.293999999999997</v>
      </c>
      <c r="W53" s="74">
        <v>1</v>
      </c>
      <c r="X53" s="74">
        <v>8</v>
      </c>
      <c r="Y53" s="74">
        <v>16</v>
      </c>
      <c r="Z53" s="74">
        <v>4</v>
      </c>
      <c r="AA53" s="229">
        <f>4096/D86/D92</f>
        <v>4096</v>
      </c>
      <c r="AB53" s="73">
        <v>8</v>
      </c>
      <c r="AC53" s="73">
        <v>4096</v>
      </c>
      <c r="AD53" s="73">
        <v>3000</v>
      </c>
      <c r="AE53" s="230">
        <f>IF(OR(D85=2,D86=2),IF(D53=8,209.31732,IF(OR(D53="RGB8",D53="BGR8"),478.86984,319.24656)),IF(AND(D91=1,D92=1),IF(D53=8,319.24656,IF(OR(D53="RGB8",D53="BGR8"),957.73968,638.49312)),IF(D53=8,159.62328,319.24656)))</f>
        <v>319.24655999999999</v>
      </c>
      <c r="AF53" s="75">
        <v>128</v>
      </c>
      <c r="AG53" s="75">
        <v>62</v>
      </c>
      <c r="AH53" s="75">
        <v>2470</v>
      </c>
      <c r="AI53" s="75"/>
      <c r="AJ53" s="36" t="s">
        <v>158</v>
      </c>
      <c r="AK53" s="73">
        <v>40000</v>
      </c>
      <c r="AL53" s="75">
        <f>IF(OR(D85=2,D91=2),2048,4096)</f>
        <v>4096</v>
      </c>
      <c r="AM53" s="75">
        <f>IF(OR(D86=2,D92=2),1496,3000)</f>
        <v>3000</v>
      </c>
      <c r="AN53" s="73">
        <v>23</v>
      </c>
      <c r="AO53" s="73">
        <v>312.5</v>
      </c>
      <c r="AP53" s="73">
        <v>0</v>
      </c>
      <c r="AQ53" s="36" t="s">
        <v>216</v>
      </c>
      <c r="AR53" s="73">
        <v>0</v>
      </c>
      <c r="AS53" s="73">
        <v>20</v>
      </c>
      <c r="AT53" s="231">
        <f>IF(OR(D85=2,D86=2),IF(D53=8,416,IF(OR(D53="RGB8",D53="BGR8"),954,636)),IF(AND(D91=1,D92=1),IF(D53=8,636,IF(OR(D53="RGB8",D53="BGR8"),1912,1274)),IF(D53=8,316,636)))</f>
        <v>636</v>
      </c>
    </row>
    <row r="54" spans="1:46" s="21" customFormat="1" ht="30" hidden="1" customHeight="1" thickBot="1">
      <c r="A54" s="259" t="s">
        <v>19</v>
      </c>
      <c r="B54" s="260"/>
      <c r="C54" s="260"/>
      <c r="D54" s="260"/>
      <c r="E54" s="261"/>
      <c r="F54" s="24"/>
      <c r="G54" s="259" t="s">
        <v>121</v>
      </c>
      <c r="H54" s="260"/>
      <c r="I54" s="260"/>
      <c r="J54" s="260"/>
      <c r="K54" s="261"/>
      <c r="M54" s="58" t="s">
        <v>572</v>
      </c>
      <c r="N54" s="69" t="s">
        <v>255</v>
      </c>
      <c r="O54" s="69" t="s">
        <v>485</v>
      </c>
      <c r="P54" s="70">
        <f>VLOOKUP($C$48,$S$50:$AS$58,8,FALSE)</f>
        <v>4</v>
      </c>
      <c r="Q54" s="76" t="s">
        <v>538</v>
      </c>
      <c r="S54" s="72" t="s">
        <v>261</v>
      </c>
      <c r="T54" s="73" t="s">
        <v>573</v>
      </c>
      <c r="U54" s="228">
        <v>37647</v>
      </c>
      <c r="V54" s="228">
        <v>75.293999999999997</v>
      </c>
      <c r="W54" s="74">
        <v>1</v>
      </c>
      <c r="X54" s="74">
        <v>8</v>
      </c>
      <c r="Y54" s="74">
        <v>12</v>
      </c>
      <c r="Z54" s="74">
        <v>8</v>
      </c>
      <c r="AA54" s="229">
        <f>2448/D86/D92</f>
        <v>2448</v>
      </c>
      <c r="AB54" s="73">
        <v>8</v>
      </c>
      <c r="AC54" s="73">
        <v>2448</v>
      </c>
      <c r="AD54" s="73">
        <v>2048</v>
      </c>
      <c r="AE54" s="230">
        <f>IF(OR(D85=2,D86=2),IF(D53=10,191.24676,IF(D53="rgb888",286.1172,209.31732)),IF(AND(D91=1,D92=1),IF(D53=8,209.31732,IF(D53="rgb888",572.2344,382.49352)),IF(D53=8,108.42336,191.24676)))</f>
        <v>209.31732</v>
      </c>
      <c r="AF54" s="75">
        <v>168</v>
      </c>
      <c r="AG54" s="75">
        <v>86</v>
      </c>
      <c r="AH54" s="75">
        <v>2470</v>
      </c>
      <c r="AI54" s="75"/>
      <c r="AJ54" s="36" t="s">
        <v>158</v>
      </c>
      <c r="AK54" s="73">
        <v>10000</v>
      </c>
      <c r="AL54" s="75">
        <v>2448</v>
      </c>
      <c r="AM54" s="75">
        <v>2048</v>
      </c>
      <c r="AN54" s="73">
        <v>56</v>
      </c>
      <c r="AO54" s="73">
        <v>312.5</v>
      </c>
      <c r="AP54" s="73">
        <v>0</v>
      </c>
      <c r="AQ54" s="36" t="s">
        <v>216</v>
      </c>
      <c r="AR54" s="73">
        <v>0</v>
      </c>
      <c r="AS54" s="73">
        <v>20</v>
      </c>
      <c r="AT54" s="231">
        <f>IF(OR(D85=2,D86=2),IF(D53=10,380,IF(D53="rgb888",570,416)),IF(AND(D91=1,D92=1),IF(D53=8,416,IF(D53="rgb888",1142,762)),IF(D53=8,214,380)))</f>
        <v>416</v>
      </c>
    </row>
    <row r="55" spans="1:46" s="21" customFormat="1" ht="30" hidden="1" customHeight="1" thickBot="1">
      <c r="A55" s="44" t="s">
        <v>263</v>
      </c>
      <c r="B55" s="45" t="s">
        <v>264</v>
      </c>
      <c r="C55" s="45" t="s">
        <v>160</v>
      </c>
      <c r="D55" s="77" t="s">
        <v>160</v>
      </c>
      <c r="E55" s="78"/>
      <c r="F55" s="24"/>
      <c r="G55" s="43" t="s">
        <v>124</v>
      </c>
      <c r="H55" s="79" t="s">
        <v>125</v>
      </c>
      <c r="I55" s="80" t="s">
        <v>265</v>
      </c>
      <c r="J55" s="201">
        <f>IF(D56="Ultrashort",ROUNDUP((D71+P57)*J51/1000,0)+10,D71+P57)</f>
        <v>3128</v>
      </c>
      <c r="K55" s="82" t="str">
        <f>IF(D56="Ultrashort","us","line")</f>
        <v>line</v>
      </c>
      <c r="M55" s="58" t="s">
        <v>266</v>
      </c>
      <c r="N55" s="69" t="s">
        <v>267</v>
      </c>
      <c r="O55" s="69" t="s">
        <v>256</v>
      </c>
      <c r="P55" s="70">
        <f>VLOOKUP($C$48,$S$50:$AS$58,13,FALSE)</f>
        <v>319.24655999999999</v>
      </c>
      <c r="Q55" s="76" t="s">
        <v>268</v>
      </c>
      <c r="S55" s="232" t="s">
        <v>269</v>
      </c>
      <c r="T55" s="233" t="s">
        <v>270</v>
      </c>
      <c r="U55" s="234">
        <v>37647</v>
      </c>
      <c r="V55" s="234">
        <v>75.293999999999997</v>
      </c>
      <c r="W55" s="235">
        <v>1</v>
      </c>
      <c r="X55" s="235">
        <v>8</v>
      </c>
      <c r="Y55" s="235">
        <v>8</v>
      </c>
      <c r="Z55" s="235">
        <v>4</v>
      </c>
      <c r="AA55" s="236">
        <f>2840/D86/D92</f>
        <v>2840</v>
      </c>
      <c r="AB55" s="233">
        <v>8</v>
      </c>
      <c r="AC55" s="233">
        <v>2840</v>
      </c>
      <c r="AD55" s="233">
        <v>2840</v>
      </c>
      <c r="AE55" s="237">
        <f>IF(OR(D85=2,D86=2),IF(D53=8,209.31732,IF(D53="rgb888",332.79948,221.36436)),IF(AND(D91=1,D92=1),IF(D53=8,221.36436,IF(D53="rgb888",664.09308,442.72872)),IF(D53=8,120.4704,221.36436)))</f>
        <v>221.36436</v>
      </c>
      <c r="AF55" s="238">
        <v>160</v>
      </c>
      <c r="AG55" s="238">
        <v>82</v>
      </c>
      <c r="AH55" s="238">
        <v>2470</v>
      </c>
      <c r="AI55" s="238"/>
      <c r="AJ55" s="153" t="s">
        <v>158</v>
      </c>
      <c r="AK55" s="233">
        <v>20000</v>
      </c>
      <c r="AL55" s="238">
        <v>2840</v>
      </c>
      <c r="AM55" s="238">
        <v>2840</v>
      </c>
      <c r="AN55" s="233">
        <v>35</v>
      </c>
      <c r="AO55" s="233">
        <v>312.5</v>
      </c>
      <c r="AP55" s="233">
        <v>0</v>
      </c>
      <c r="AQ55" s="153" t="s">
        <v>216</v>
      </c>
      <c r="AR55" s="233">
        <v>0</v>
      </c>
      <c r="AS55" s="233">
        <v>20</v>
      </c>
      <c r="AT55" s="239">
        <f>IF(OR(D85=2,D86=2),IF(D53=8,416,IF(D53="rgb888",662,440)),IF(AND(D91=1,D92=1),IF(D53=8,440,IF(D53="rgb888",1326,882)),IF(D53=8,238,440)))</f>
        <v>440</v>
      </c>
    </row>
    <row r="56" spans="1:46" s="21" customFormat="1" ht="84" hidden="1" customHeight="1" thickBot="1">
      <c r="A56" s="44" t="s">
        <v>271</v>
      </c>
      <c r="B56" s="45" t="s">
        <v>272</v>
      </c>
      <c r="C56" s="45" t="s">
        <v>273</v>
      </c>
      <c r="D56" s="77" t="s">
        <v>161</v>
      </c>
      <c r="E56" s="78"/>
      <c r="F56" s="24"/>
      <c r="G56" s="54" t="s">
        <v>128</v>
      </c>
      <c r="H56" s="55" t="s">
        <v>129</v>
      </c>
      <c r="I56" s="53" t="s">
        <v>274</v>
      </c>
      <c r="J56" s="83">
        <f>IF(D56="Ultrashort",J81,J83+IF(D75=0,0,ROUNDUP(P62*1000/J51,0)))</f>
        <v>4779</v>
      </c>
      <c r="K56" s="82" t="str">
        <f>IF(D56="Ultrashort","us","line")</f>
        <v>line</v>
      </c>
      <c r="M56" s="58" t="s">
        <v>275</v>
      </c>
      <c r="N56" s="69" t="s">
        <v>276</v>
      </c>
      <c r="O56" s="69" t="s">
        <v>256</v>
      </c>
      <c r="P56" s="70">
        <f>VLOOKUP($C$48,$S$50:$AT$58,28,FALSE)</f>
        <v>636</v>
      </c>
      <c r="Q56" s="76" t="s">
        <v>268</v>
      </c>
      <c r="S56" s="240" t="s">
        <v>486</v>
      </c>
      <c r="T56" s="240" t="s">
        <v>487</v>
      </c>
      <c r="U56" s="240">
        <v>37647</v>
      </c>
      <c r="V56" s="240">
        <v>75.293999999999997</v>
      </c>
      <c r="W56" s="240">
        <v>1</v>
      </c>
      <c r="X56" s="240">
        <v>8</v>
      </c>
      <c r="Y56" s="240">
        <v>0</v>
      </c>
      <c r="Z56" s="240">
        <v>0</v>
      </c>
      <c r="AA56" s="240">
        <f>IF(OR(D85=2,D86=2,D91=2,D92=2),1424,2856)</f>
        <v>2856</v>
      </c>
      <c r="AB56" s="240">
        <v>16</v>
      </c>
      <c r="AC56" s="240">
        <f>IF(OR(D85=2,D86=2,D91=2,D92=2),1424,2856)</f>
        <v>2856</v>
      </c>
      <c r="AD56" s="240">
        <f>IF(OR(D85=2,D86=2,D91=2,D92=2),1424,2848)</f>
        <v>2848</v>
      </c>
      <c r="AE56" s="240">
        <f>IF(OR(D85=2,D86=2),IF(D53=8,120.4707,222.1173),IF(AND(D91=1,D92=1),IF(D53=8,222.87024,444.98754),IF(D53=8,120.4704,222.87024)))</f>
        <v>222.87024</v>
      </c>
      <c r="AF56" s="240">
        <v>184</v>
      </c>
      <c r="AG56" s="240">
        <v>90</v>
      </c>
      <c r="AH56" s="240">
        <v>2470</v>
      </c>
      <c r="AI56" s="240"/>
      <c r="AJ56" s="240" t="s">
        <v>242</v>
      </c>
      <c r="AK56" s="240">
        <v>20000</v>
      </c>
      <c r="AL56" s="240">
        <f>IF(OR(D85=2,D86=2,D88=2,D91=2,D92=2),1424,2856)</f>
        <v>2856</v>
      </c>
      <c r="AM56" s="240">
        <f>IF(OR(D85=2,D86=2,D89=2,D91=2,D92=2),1424,2848)</f>
        <v>2848</v>
      </c>
      <c r="AN56" s="240">
        <v>35</v>
      </c>
      <c r="AO56" s="240">
        <v>312.5</v>
      </c>
      <c r="AP56" s="240">
        <v>0</v>
      </c>
      <c r="AQ56" s="240" t="s">
        <v>243</v>
      </c>
      <c r="AR56" s="240">
        <v>0</v>
      </c>
      <c r="AS56" s="240">
        <v>20</v>
      </c>
      <c r="AT56" s="240">
        <f>IF(OR(D85=2,D86=2),IF(D53=8,242,446),IF(AND(D91=1,D92=1),IF(D53=8,446,890),IF(D53=8,242,446)))</f>
        <v>446</v>
      </c>
    </row>
    <row r="57" spans="1:46" s="21" customFormat="1" ht="112.5" hidden="1" customHeight="1">
      <c r="A57" s="44" t="s">
        <v>277</v>
      </c>
      <c r="B57" s="45" t="s">
        <v>278</v>
      </c>
      <c r="C57" s="45">
        <f>VLOOKUP($C$48,$S$50:$AQ$58,19,FALSE)</f>
        <v>40000</v>
      </c>
      <c r="D57" s="85">
        <f>C10</f>
        <v>40000</v>
      </c>
      <c r="E57" s="78" t="s">
        <v>110</v>
      </c>
      <c r="F57" s="24"/>
      <c r="G57" s="58" t="s">
        <v>132</v>
      </c>
      <c r="H57" s="69" t="s">
        <v>133</v>
      </c>
      <c r="I57" s="49" t="s">
        <v>279</v>
      </c>
      <c r="J57" s="83">
        <f>IF(D56="Ultrashort",ROUNDUP(((1000000/D83))*D82,0),ROUNDUP(((1000000000/D83)/J51)*D82,0))</f>
        <v>0</v>
      </c>
      <c r="K57" s="82" t="str">
        <f>IF(D56="Ultrashort","us","line")</f>
        <v>line</v>
      </c>
      <c r="M57" s="58" t="s">
        <v>280</v>
      </c>
      <c r="N57" s="69" t="s">
        <v>281</v>
      </c>
      <c r="O57" s="69" t="s">
        <v>256</v>
      </c>
      <c r="P57" s="70">
        <f>VLOOKUP($C$48,$S$50:$AS$58,14,FALSE)</f>
        <v>128</v>
      </c>
      <c r="Q57" s="71" t="s">
        <v>107</v>
      </c>
      <c r="S57" s="84"/>
      <c r="T57" s="84"/>
      <c r="U57" s="84"/>
      <c r="V57" s="84"/>
      <c r="W57" s="84"/>
      <c r="X57" s="84"/>
      <c r="Y57" s="86"/>
      <c r="Z57" s="84"/>
    </row>
    <row r="58" spans="1:46" s="21" customFormat="1" ht="60" hidden="1" customHeight="1" thickBot="1">
      <c r="A58" s="87" t="s">
        <v>178</v>
      </c>
      <c r="B58" s="59" t="s">
        <v>21</v>
      </c>
      <c r="C58" s="45">
        <v>0</v>
      </c>
      <c r="D58" s="88">
        <f>C11</f>
        <v>0</v>
      </c>
      <c r="E58" s="89" t="s">
        <v>110</v>
      </c>
      <c r="F58" s="24"/>
      <c r="G58" s="87" t="s">
        <v>134</v>
      </c>
      <c r="H58" s="90" t="s">
        <v>90</v>
      </c>
      <c r="I58" s="1" t="s">
        <v>574</v>
      </c>
      <c r="J58" s="91">
        <f>IF(D56="Ultrashort",IF(D62=0,P94,IF(D64="Standard",P96,0)),IF(D62=0,ROUNDUP(P94*1000/J51,0),IF(D64="Standard",ROUNDUP(P96,0),0)))</f>
        <v>5156</v>
      </c>
      <c r="K58" s="82" t="str">
        <f>IF(D56="Ultrashort","us","line")</f>
        <v>line</v>
      </c>
      <c r="M58" s="58" t="s">
        <v>283</v>
      </c>
      <c r="N58" s="69" t="s">
        <v>527</v>
      </c>
      <c r="O58" s="69" t="s">
        <v>485</v>
      </c>
      <c r="P58" s="70">
        <f>VLOOKUP($C$48,$S$50:$AS$58,15,FALSE)</f>
        <v>62</v>
      </c>
      <c r="Q58" s="71" t="s">
        <v>107</v>
      </c>
      <c r="S58" s="84"/>
      <c r="T58" s="84"/>
      <c r="U58" s="84"/>
      <c r="V58" s="84"/>
      <c r="W58" s="84"/>
      <c r="X58" s="84"/>
      <c r="Y58" s="86"/>
      <c r="Z58" s="84"/>
    </row>
    <row r="59" spans="1:46" s="21" customFormat="1" ht="87.75" hidden="1" customHeight="1" thickBot="1">
      <c r="A59" s="92" t="s">
        <v>285</v>
      </c>
      <c r="B59" s="93" t="str">
        <f>"交叠曝光时间 
范围:0"&amp;"-"&amp;ROUNDUP(((J55-P58)*J51/1000),0)</f>
        <v>交叠曝光时间 
范围:0-26000</v>
      </c>
      <c r="C59" s="79">
        <f>ROUNDUP((J55-P58)*J51/1000,0)</f>
        <v>26000</v>
      </c>
      <c r="D59" s="94">
        <v>26000</v>
      </c>
      <c r="E59" s="89" t="s">
        <v>286</v>
      </c>
      <c r="F59" s="24"/>
      <c r="G59" s="259" t="s">
        <v>162</v>
      </c>
      <c r="H59" s="260"/>
      <c r="I59" s="260"/>
      <c r="J59" s="260"/>
      <c r="K59" s="261"/>
      <c r="M59" s="58" t="s">
        <v>287</v>
      </c>
      <c r="N59" s="69" t="s">
        <v>575</v>
      </c>
      <c r="O59" s="69" t="s">
        <v>205</v>
      </c>
      <c r="P59" s="70">
        <f>VLOOKUP($C$48,$S$50:$AS$58,16,FALSE)</f>
        <v>2470</v>
      </c>
      <c r="Q59" s="95" t="s">
        <v>289</v>
      </c>
      <c r="S59" s="84"/>
      <c r="T59" s="96"/>
      <c r="U59" s="84"/>
      <c r="V59" s="84"/>
      <c r="W59" s="84"/>
      <c r="X59" s="84"/>
      <c r="Y59" s="86"/>
      <c r="Z59" s="84"/>
    </row>
    <row r="60" spans="1:46" s="21" customFormat="1" ht="87.75" hidden="1" customHeight="1" thickBot="1">
      <c r="A60" s="97" t="s">
        <v>290</v>
      </c>
      <c r="B60" s="98" t="s">
        <v>291</v>
      </c>
      <c r="C60" s="90" t="s">
        <v>292</v>
      </c>
      <c r="D60" s="99">
        <v>0</v>
      </c>
      <c r="E60" s="89" t="s">
        <v>489</v>
      </c>
      <c r="F60" s="24"/>
      <c r="G60" s="100" t="s">
        <v>293</v>
      </c>
      <c r="H60" s="101" t="s">
        <v>576</v>
      </c>
      <c r="I60" s="101" t="s">
        <v>295</v>
      </c>
      <c r="J60" s="81">
        <f>IF(D56="Ultrashort",IF(D57&gt;P59/1000,ROUNDUP((D57*1000-P59)/1000,0),1),MAX(ROUNDUP((D57*1000-P59)/J51,0),1))</f>
        <v>4717</v>
      </c>
      <c r="K60" s="82" t="str">
        <f>IF(D56="Ultrashort","us","line")</f>
        <v>line</v>
      </c>
      <c r="M60" s="58" t="s">
        <v>296</v>
      </c>
      <c r="N60" s="69" t="s">
        <v>297</v>
      </c>
      <c r="O60" s="69" t="s">
        <v>205</v>
      </c>
      <c r="P60" s="70">
        <f>VLOOKUP($C$48,$S$50:$AS$58,27,FALSE)</f>
        <v>20</v>
      </c>
      <c r="Q60" s="71" t="s">
        <v>286</v>
      </c>
      <c r="S60" s="84"/>
      <c r="T60" s="84"/>
      <c r="U60" s="84"/>
      <c r="V60" s="84"/>
      <c r="W60" s="84"/>
      <c r="X60" s="84"/>
      <c r="Y60" s="86"/>
      <c r="Z60" s="84"/>
    </row>
    <row r="61" spans="1:46" s="21" customFormat="1" ht="87.75" hidden="1" customHeight="1">
      <c r="A61" s="265" t="s">
        <v>298</v>
      </c>
      <c r="B61" s="266"/>
      <c r="C61" s="266"/>
      <c r="D61" s="266"/>
      <c r="E61" s="267"/>
      <c r="F61" s="24"/>
      <c r="G61" s="100" t="s">
        <v>577</v>
      </c>
      <c r="H61" s="101" t="s">
        <v>300</v>
      </c>
      <c r="I61" s="101" t="s">
        <v>301</v>
      </c>
      <c r="J61" s="203">
        <f>IF(AND(D57&gt;P59/1000,D57&lt;=P60,AND(D85=1,D86=1),AND(D91=1,D92=1)),ROUNDUP((1000*D57-P59)/1000,0),0)</f>
        <v>0</v>
      </c>
      <c r="K61" s="102" t="s">
        <v>286</v>
      </c>
      <c r="M61" s="58" t="s">
        <v>302</v>
      </c>
      <c r="N61" s="69"/>
      <c r="O61" s="69" t="s">
        <v>205</v>
      </c>
      <c r="P61" s="70">
        <f>VLOOKUP($C$48,$S$50:$AS$58,17,FALSE)</f>
        <v>0</v>
      </c>
      <c r="Q61" s="71"/>
      <c r="S61" s="84"/>
      <c r="T61" s="84"/>
      <c r="U61" s="84"/>
      <c r="V61" s="84"/>
      <c r="W61" s="84"/>
      <c r="X61" s="84"/>
      <c r="Y61" s="86"/>
      <c r="Z61" s="84"/>
    </row>
    <row r="62" spans="1:46" s="21" customFormat="1" ht="109.5" hidden="1" customHeight="1">
      <c r="A62" s="69" t="s">
        <v>303</v>
      </c>
      <c r="B62" s="69" t="s">
        <v>298</v>
      </c>
      <c r="C62" s="69">
        <v>0</v>
      </c>
      <c r="D62" s="103">
        <f>C21</f>
        <v>0</v>
      </c>
      <c r="E62" s="104"/>
      <c r="F62" s="24"/>
      <c r="G62" s="105" t="s">
        <v>304</v>
      </c>
      <c r="H62" s="106" t="s">
        <v>305</v>
      </c>
      <c r="I62" s="106" t="s">
        <v>306</v>
      </c>
      <c r="J62" s="57">
        <f>IF(D56="Ultrashort",D58,ROUNDUP((D58*1000)/J51,0))</f>
        <v>0</v>
      </c>
      <c r="K62" s="82" t="str">
        <f>IF(D56="Ultrashort","us","line")</f>
        <v>line</v>
      </c>
      <c r="M62" s="58" t="s">
        <v>307</v>
      </c>
      <c r="N62" s="69" t="s">
        <v>308</v>
      </c>
      <c r="O62" s="69" t="s">
        <v>205</v>
      </c>
      <c r="P62" s="70">
        <f>VLOOKUP($C$48,$S$50:$AS$58,26,FALSE)</f>
        <v>0</v>
      </c>
      <c r="Q62" s="71" t="s">
        <v>110</v>
      </c>
      <c r="S62" s="84"/>
      <c r="T62" s="84"/>
      <c r="U62" s="84"/>
      <c r="V62" s="84"/>
      <c r="W62" s="84"/>
      <c r="X62" s="84"/>
      <c r="Y62" s="86"/>
      <c r="Z62" s="84"/>
    </row>
    <row r="63" spans="1:46" s="21" customFormat="1" ht="111" hidden="1" customHeight="1" thickBot="1">
      <c r="A63" s="61" t="s">
        <v>578</v>
      </c>
      <c r="B63" s="62" t="s">
        <v>579</v>
      </c>
      <c r="C63" s="62">
        <v>0</v>
      </c>
      <c r="D63" s="107">
        <v>0</v>
      </c>
      <c r="E63" s="64"/>
      <c r="F63" s="24"/>
      <c r="G63" s="105" t="s">
        <v>580</v>
      </c>
      <c r="H63" s="106" t="s">
        <v>581</v>
      </c>
      <c r="I63" s="101" t="s">
        <v>582</v>
      </c>
      <c r="J63" s="108">
        <f>IF(D56="Ultrashort",200,IF((D57+4*J51/1000)&gt;100,(D57+4*J51/1000),100))</f>
        <v>40033.919999999998</v>
      </c>
      <c r="K63" s="4" t="s">
        <v>583</v>
      </c>
      <c r="M63" s="109" t="s">
        <v>584</v>
      </c>
      <c r="N63" s="110" t="s">
        <v>585</v>
      </c>
      <c r="O63" s="110" t="s">
        <v>205</v>
      </c>
      <c r="P63" s="111">
        <f>VLOOKUP($C$48,$S$50:$AS$58,24,FALSE)</f>
        <v>0</v>
      </c>
      <c r="Q63" s="47" t="s">
        <v>107</v>
      </c>
      <c r="S63" s="84"/>
      <c r="T63" s="84"/>
      <c r="U63" s="84"/>
      <c r="V63" s="84"/>
      <c r="W63" s="84"/>
      <c r="X63" s="84"/>
      <c r="Y63" s="86"/>
      <c r="Z63" s="84"/>
    </row>
    <row r="64" spans="1:46" s="21" customFormat="1" ht="111" hidden="1" customHeight="1" thickBot="1">
      <c r="A64" s="69" t="s">
        <v>586</v>
      </c>
      <c r="B64" s="69" t="s">
        <v>163</v>
      </c>
      <c r="C64" s="112" t="s">
        <v>587</v>
      </c>
      <c r="D64" s="103" t="s">
        <v>161</v>
      </c>
      <c r="E64" s="113"/>
      <c r="F64" s="24"/>
      <c r="G64" s="114" t="s">
        <v>588</v>
      </c>
      <c r="H64" s="106" t="s">
        <v>316</v>
      </c>
      <c r="I64" s="106" t="s">
        <v>589</v>
      </c>
      <c r="J64" s="241">
        <f>IF(D56="Ultrashort",ROUNDUP((D71+11+P61)*J51/1000,0),D71+11+P61)</f>
        <v>3011</v>
      </c>
      <c r="K64" s="82" t="str">
        <f>IF(D56="Ultrashort","us","line")</f>
        <v>line</v>
      </c>
      <c r="M64" s="262" t="s">
        <v>177</v>
      </c>
      <c r="N64" s="263"/>
      <c r="O64" s="263"/>
      <c r="P64" s="263"/>
      <c r="Q64" s="268"/>
      <c r="S64" s="84"/>
      <c r="T64" s="84"/>
      <c r="U64" s="84"/>
      <c r="V64" s="84"/>
      <c r="W64" s="84"/>
      <c r="X64" s="84"/>
      <c r="Y64" s="115"/>
      <c r="Z64" s="115"/>
    </row>
    <row r="65" spans="1:26" s="21" customFormat="1" ht="60.75" hidden="1" customHeight="1" thickBot="1">
      <c r="A65" s="248" t="s">
        <v>164</v>
      </c>
      <c r="B65" s="249"/>
      <c r="C65" s="249"/>
      <c r="D65" s="249"/>
      <c r="E65" s="268"/>
      <c r="F65" s="24"/>
      <c r="G65" s="262" t="s">
        <v>73</v>
      </c>
      <c r="H65" s="263"/>
      <c r="I65" s="263"/>
      <c r="J65" s="263"/>
      <c r="K65" s="268"/>
      <c r="M65" s="32" t="s">
        <v>96</v>
      </c>
      <c r="N65" s="33" t="s">
        <v>94</v>
      </c>
      <c r="O65" s="33" t="s">
        <v>98</v>
      </c>
      <c r="P65" s="33" t="s">
        <v>157</v>
      </c>
      <c r="Q65" s="34" t="s">
        <v>100</v>
      </c>
      <c r="S65" s="84"/>
      <c r="T65" s="116"/>
      <c r="U65" s="116"/>
      <c r="V65" s="116"/>
      <c r="W65" s="116"/>
      <c r="X65" s="116"/>
      <c r="Y65" s="117"/>
      <c r="Z65" s="117"/>
    </row>
    <row r="66" spans="1:26" s="21" customFormat="1" ht="30" hidden="1" customHeight="1" thickBot="1">
      <c r="A66" s="61" t="s">
        <v>210</v>
      </c>
      <c r="B66" s="62" t="s">
        <v>119</v>
      </c>
      <c r="C66" s="62">
        <v>0</v>
      </c>
      <c r="D66" s="63">
        <v>0</v>
      </c>
      <c r="E66" s="64" t="s">
        <v>110</v>
      </c>
      <c r="F66" s="24"/>
      <c r="G66" s="118" t="s">
        <v>84</v>
      </c>
      <c r="H66" s="119" t="s">
        <v>166</v>
      </c>
      <c r="I66" s="119" t="s">
        <v>167</v>
      </c>
      <c r="J66" s="120">
        <f>J53*P83</f>
        <v>281042014.50037742</v>
      </c>
      <c r="K66" s="121" t="s">
        <v>168</v>
      </c>
      <c r="M66" s="44" t="s">
        <v>74</v>
      </c>
      <c r="N66" s="45" t="s">
        <v>101</v>
      </c>
      <c r="O66" s="45" t="s">
        <v>102</v>
      </c>
      <c r="P66" s="46">
        <v>7</v>
      </c>
      <c r="Q66" s="47" t="s">
        <v>103</v>
      </c>
      <c r="S66" s="84"/>
      <c r="T66" s="116"/>
      <c r="U66" s="116"/>
      <c r="V66" s="116"/>
      <c r="W66" s="116"/>
      <c r="X66" s="116"/>
      <c r="Y66" s="117"/>
      <c r="Z66" s="117"/>
    </row>
    <row r="67" spans="1:26" s="21" customFormat="1" ht="30" hidden="1" customHeight="1" thickBot="1">
      <c r="A67" s="262" t="s">
        <v>165</v>
      </c>
      <c r="B67" s="263"/>
      <c r="C67" s="263"/>
      <c r="D67" s="263"/>
      <c r="E67" s="224"/>
      <c r="F67" s="24"/>
      <c r="G67" s="122" t="s">
        <v>85</v>
      </c>
      <c r="H67" s="123" t="s">
        <v>169</v>
      </c>
      <c r="I67" s="92" t="s">
        <v>170</v>
      </c>
      <c r="J67" s="57">
        <f>J53*P90</f>
        <v>292944857.3977083</v>
      </c>
      <c r="K67" s="124" t="s">
        <v>168</v>
      </c>
      <c r="M67" s="58" t="s">
        <v>75</v>
      </c>
      <c r="N67" s="69" t="s">
        <v>105</v>
      </c>
      <c r="O67" s="69" t="s">
        <v>106</v>
      </c>
      <c r="P67" s="70">
        <v>1</v>
      </c>
      <c r="Q67" s="71" t="s">
        <v>103</v>
      </c>
    </row>
    <row r="68" spans="1:26" s="21" customFormat="1" ht="30" hidden="1" customHeight="1" thickBot="1">
      <c r="A68" s="44" t="s">
        <v>590</v>
      </c>
      <c r="B68" s="45" t="s">
        <v>490</v>
      </c>
      <c r="C68" s="45">
        <v>0</v>
      </c>
      <c r="D68" s="85">
        <v>0</v>
      </c>
      <c r="E68" s="125" t="s">
        <v>159</v>
      </c>
      <c r="F68" s="24"/>
      <c r="G68" s="126" t="s">
        <v>86</v>
      </c>
      <c r="H68" s="127" t="s">
        <v>171</v>
      </c>
      <c r="I68" s="67" t="s">
        <v>172</v>
      </c>
      <c r="J68" s="108">
        <f>1250*D77*(100-D80)</f>
        <v>296875000</v>
      </c>
      <c r="K68" s="128" t="s">
        <v>168</v>
      </c>
      <c r="M68" s="58" t="s">
        <v>76</v>
      </c>
      <c r="N68" s="69" t="s">
        <v>108</v>
      </c>
      <c r="O68" s="69" t="s">
        <v>109</v>
      </c>
      <c r="P68" s="70">
        <v>14</v>
      </c>
      <c r="Q68" s="71" t="s">
        <v>103</v>
      </c>
      <c r="R68" s="25"/>
    </row>
    <row r="69" spans="1:26" s="21" customFormat="1" ht="70.5" hidden="1" customHeight="1" thickBot="1">
      <c r="A69" s="129" t="s">
        <v>591</v>
      </c>
      <c r="B69" s="92" t="s">
        <v>592</v>
      </c>
      <c r="C69" s="92">
        <v>0</v>
      </c>
      <c r="D69" s="130">
        <v>0</v>
      </c>
      <c r="E69" s="131" t="s">
        <v>159</v>
      </c>
      <c r="F69" s="24"/>
      <c r="G69" s="222" t="s">
        <v>322</v>
      </c>
      <c r="H69" s="223"/>
      <c r="I69" s="223"/>
      <c r="J69" s="223"/>
      <c r="K69" s="224"/>
      <c r="M69" s="58" t="s">
        <v>77</v>
      </c>
      <c r="N69" s="69" t="s">
        <v>111</v>
      </c>
      <c r="O69" s="69" t="s">
        <v>112</v>
      </c>
      <c r="P69" s="70">
        <v>20</v>
      </c>
      <c r="Q69" s="71" t="s">
        <v>103</v>
      </c>
      <c r="R69" s="25"/>
    </row>
    <row r="70" spans="1:26" s="21" customFormat="1" ht="148.5" hidden="1" customHeight="1">
      <c r="A70" s="129" t="s">
        <v>593</v>
      </c>
      <c r="B70" s="92" t="s">
        <v>594</v>
      </c>
      <c r="C70" s="92">
        <f>VLOOKUP($C$48,$S$50:$AQ$58,20,FALSE)</f>
        <v>4096</v>
      </c>
      <c r="D70" s="130">
        <f>C4</f>
        <v>4096</v>
      </c>
      <c r="E70" s="131" t="s">
        <v>159</v>
      </c>
      <c r="F70" s="24"/>
      <c r="G70" s="132" t="s">
        <v>325</v>
      </c>
      <c r="H70" s="133" t="s">
        <v>326</v>
      </c>
      <c r="I70" s="119" t="s">
        <v>327</v>
      </c>
      <c r="J70" s="81">
        <f>IF(D77=10000,0,IF(D77=5000,1,IF(D77=2500,2,IF(D77=1000,3,3))))</f>
        <v>2</v>
      </c>
      <c r="K70" s="121" t="s">
        <v>328</v>
      </c>
      <c r="M70" s="58" t="s">
        <v>78</v>
      </c>
      <c r="N70" s="69" t="s">
        <v>114</v>
      </c>
      <c r="O70" s="69" t="s">
        <v>115</v>
      </c>
      <c r="P70" s="70">
        <v>8</v>
      </c>
      <c r="Q70" s="71" t="s">
        <v>103</v>
      </c>
      <c r="R70" s="25"/>
    </row>
    <row r="71" spans="1:26" s="21" customFormat="1" ht="45.75" hidden="1" customHeight="1" thickBot="1">
      <c r="A71" s="134" t="s">
        <v>491</v>
      </c>
      <c r="B71" s="90" t="s">
        <v>492</v>
      </c>
      <c r="C71" s="90">
        <f>VLOOKUP($C$48,$S$50:$AQ$58,21,FALSE)</f>
        <v>3000</v>
      </c>
      <c r="D71" s="135">
        <f>C5</f>
        <v>3000</v>
      </c>
      <c r="E71" s="89" t="s">
        <v>159</v>
      </c>
      <c r="F71" s="24"/>
      <c r="G71" s="136" t="s">
        <v>331</v>
      </c>
      <c r="H71" s="137" t="s">
        <v>332</v>
      </c>
      <c r="I71" s="138" t="s">
        <v>494</v>
      </c>
      <c r="J71" s="139">
        <f>ROUNDUP(D79*VLOOKUP($C$48,$S$50:$AQ$58,23,FALSE)/4000,0)</f>
        <v>0</v>
      </c>
      <c r="K71" s="140" t="s">
        <v>211</v>
      </c>
      <c r="M71" s="58" t="s">
        <v>79</v>
      </c>
      <c r="N71" s="69" t="s">
        <v>116</v>
      </c>
      <c r="O71" s="69" t="s">
        <v>115</v>
      </c>
      <c r="P71" s="70">
        <v>8</v>
      </c>
      <c r="Q71" s="71" t="s">
        <v>103</v>
      </c>
    </row>
    <row r="72" spans="1:26" s="21" customFormat="1" ht="48" hidden="1" customHeight="1" thickBot="1">
      <c r="A72" s="262" t="s">
        <v>138</v>
      </c>
      <c r="B72" s="263"/>
      <c r="C72" s="263"/>
      <c r="D72" s="263"/>
      <c r="E72" s="268"/>
      <c r="F72" s="24"/>
      <c r="G72" s="222" t="s">
        <v>143</v>
      </c>
      <c r="H72" s="223"/>
      <c r="I72" s="223"/>
      <c r="J72" s="223"/>
      <c r="K72" s="224"/>
      <c r="M72" s="58" t="s">
        <v>80</v>
      </c>
      <c r="N72" s="69" t="s">
        <v>117</v>
      </c>
      <c r="O72" s="69" t="s">
        <v>118</v>
      </c>
      <c r="P72" s="70">
        <v>4</v>
      </c>
      <c r="Q72" s="71" t="s">
        <v>103</v>
      </c>
    </row>
    <row r="73" spans="1:26" s="21" customFormat="1" ht="69.75" hidden="1" customHeight="1" thickBot="1">
      <c r="A73" s="141" t="s">
        <v>528</v>
      </c>
      <c r="B73" s="142" t="s">
        <v>595</v>
      </c>
      <c r="C73" s="143">
        <v>0</v>
      </c>
      <c r="D73" s="144">
        <v>0</v>
      </c>
      <c r="E73" s="145" t="s">
        <v>142</v>
      </c>
      <c r="G73" s="146" t="s">
        <v>87</v>
      </c>
      <c r="H73" s="147" t="s">
        <v>335</v>
      </c>
      <c r="I73" s="148" t="s">
        <v>336</v>
      </c>
      <c r="J73" s="149">
        <f>IF(ROUNDUP(P99*1000*8/D77,0)&gt;200000000,200000000,ROUNDUP(P99*1000*8/D77,0))</f>
        <v>1126608</v>
      </c>
      <c r="K73" s="150" t="s">
        <v>104</v>
      </c>
      <c r="M73" s="58" t="s">
        <v>52</v>
      </c>
      <c r="N73" s="69" t="s">
        <v>51</v>
      </c>
      <c r="O73" s="69" t="s">
        <v>120</v>
      </c>
      <c r="P73" s="70">
        <v>12</v>
      </c>
      <c r="Q73" s="71" t="s">
        <v>103</v>
      </c>
      <c r="S73" s="262" t="s">
        <v>131</v>
      </c>
      <c r="T73" s="263"/>
      <c r="U73" s="263"/>
      <c r="V73" s="263"/>
      <c r="W73" s="263"/>
      <c r="X73" s="264"/>
    </row>
    <row r="74" spans="1:26" s="21" customFormat="1" ht="62.25" hidden="1" customHeight="1" thickBot="1">
      <c r="A74" s="262" t="s">
        <v>337</v>
      </c>
      <c r="B74" s="263"/>
      <c r="C74" s="263"/>
      <c r="D74" s="263"/>
      <c r="E74" s="268"/>
      <c r="G74" s="222" t="s">
        <v>145</v>
      </c>
      <c r="H74" s="223"/>
      <c r="I74" s="223"/>
      <c r="J74" s="223"/>
      <c r="K74" s="224"/>
      <c r="M74" s="58" t="s">
        <v>55</v>
      </c>
      <c r="N74" s="92" t="s">
        <v>122</v>
      </c>
      <c r="O74" s="69" t="s">
        <v>123</v>
      </c>
      <c r="P74" s="70">
        <f>P69+P70+P71</f>
        <v>36</v>
      </c>
      <c r="Q74" s="71" t="s">
        <v>103</v>
      </c>
      <c r="S74" s="32" t="s">
        <v>212</v>
      </c>
      <c r="T74" s="33" t="s">
        <v>213</v>
      </c>
      <c r="U74" s="33" t="s">
        <v>94</v>
      </c>
      <c r="V74" s="33" t="s">
        <v>98</v>
      </c>
      <c r="W74" s="151" t="s">
        <v>173</v>
      </c>
      <c r="X74" s="41" t="s">
        <v>174</v>
      </c>
    </row>
    <row r="75" spans="1:26" s="21" customFormat="1" ht="50.25" hidden="1" customHeight="1" thickBot="1">
      <c r="A75" s="152" t="s">
        <v>596</v>
      </c>
      <c r="B75" s="153" t="s">
        <v>597</v>
      </c>
      <c r="C75" s="154">
        <v>0</v>
      </c>
      <c r="D75" s="155">
        <v>0</v>
      </c>
      <c r="E75" s="156" t="s">
        <v>142</v>
      </c>
      <c r="G75" s="146" t="s">
        <v>88</v>
      </c>
      <c r="H75" s="147" t="s">
        <v>145</v>
      </c>
      <c r="I75" s="148" t="s">
        <v>340</v>
      </c>
      <c r="J75" s="149">
        <f>IF((100-ROUNDDOWN(10*P92/(125000*D77),0)-1)&lt;0,0,(100-ROUNDDOWN(10*P92/(125000*D77),0)-1))</f>
        <v>99</v>
      </c>
      <c r="K75" s="150" t="s">
        <v>146</v>
      </c>
      <c r="M75" s="58" t="s">
        <v>56</v>
      </c>
      <c r="N75" s="92" t="s">
        <v>126</v>
      </c>
      <c r="O75" s="69" t="s">
        <v>127</v>
      </c>
      <c r="P75" s="70">
        <f>P66+P67+P68+P72</f>
        <v>26</v>
      </c>
      <c r="Q75" s="71" t="s">
        <v>103</v>
      </c>
      <c r="S75" s="157" t="s">
        <v>598</v>
      </c>
      <c r="T75" s="119" t="s">
        <v>599</v>
      </c>
      <c r="U75" s="158" t="s">
        <v>600</v>
      </c>
      <c r="V75" s="45" t="s">
        <v>529</v>
      </c>
      <c r="W75" s="159" t="str">
        <f>"0x"&amp;DEC2HEX(J55)</f>
        <v>0xC38</v>
      </c>
      <c r="X75" s="160"/>
    </row>
    <row r="76" spans="1:26" s="21" customFormat="1" ht="156" hidden="1" customHeight="1" thickBot="1">
      <c r="A76" s="262" t="s">
        <v>175</v>
      </c>
      <c r="B76" s="263"/>
      <c r="C76" s="263"/>
      <c r="D76" s="263"/>
      <c r="E76" s="268"/>
      <c r="G76" s="222" t="s">
        <v>601</v>
      </c>
      <c r="H76" s="223"/>
      <c r="I76" s="223"/>
      <c r="J76" s="223"/>
      <c r="K76" s="224"/>
      <c r="M76" s="87" t="s">
        <v>58</v>
      </c>
      <c r="N76" s="59" t="s">
        <v>57</v>
      </c>
      <c r="O76" s="59" t="s">
        <v>130</v>
      </c>
      <c r="P76" s="91">
        <f>64-P68-P72-P74</f>
        <v>10</v>
      </c>
      <c r="Q76" s="161" t="s">
        <v>103</v>
      </c>
      <c r="S76" s="162" t="s">
        <v>602</v>
      </c>
      <c r="T76" s="119" t="s">
        <v>603</v>
      </c>
      <c r="U76" s="163" t="s">
        <v>530</v>
      </c>
      <c r="V76" s="69" t="s">
        <v>604</v>
      </c>
      <c r="W76" s="242" t="str">
        <f>"0x"&amp;DEC2HEX(IF(D56="Ultrashort",50,ROUNDUP(P55/37.647*50,0)))</f>
        <v>0x1A8</v>
      </c>
      <c r="X76" s="165" t="s">
        <v>605</v>
      </c>
    </row>
    <row r="77" spans="1:26" s="21" customFormat="1" ht="84.75" hidden="1" customHeight="1" thickBot="1">
      <c r="A77" s="166" t="s">
        <v>496</v>
      </c>
      <c r="B77" s="80" t="s">
        <v>497</v>
      </c>
      <c r="C77" s="167" t="s">
        <v>142</v>
      </c>
      <c r="D77" s="168">
        <f>C18</f>
        <v>2500</v>
      </c>
      <c r="E77" s="78" t="s">
        <v>176</v>
      </c>
      <c r="G77" s="132" t="s">
        <v>606</v>
      </c>
      <c r="H77" s="133" t="s">
        <v>607</v>
      </c>
      <c r="I77" s="119" t="s">
        <v>498</v>
      </c>
      <c r="J77" s="169" t="str">
        <f>IF((D62=1)*(D55="TriggerWidth"),J55+IF(ROUNDUP((1000*D60/J51),0)&gt;J79,ROUNDUP((1000*D60/J51),0)-J79,0),"null")</f>
        <v>null</v>
      </c>
      <c r="K77" s="2" t="s">
        <v>538</v>
      </c>
      <c r="M77" s="262" t="s">
        <v>181</v>
      </c>
      <c r="N77" s="263"/>
      <c r="O77" s="263"/>
      <c r="P77" s="263"/>
      <c r="Q77" s="268"/>
      <c r="S77" s="162" t="s">
        <v>499</v>
      </c>
      <c r="T77" s="119" t="s">
        <v>531</v>
      </c>
      <c r="U77" s="163" t="s">
        <v>608</v>
      </c>
      <c r="V77" s="55" t="s">
        <v>609</v>
      </c>
      <c r="W77" s="164" t="str">
        <f>"0X"&amp;DEC2HEX(J62)</f>
        <v>0X0</v>
      </c>
      <c r="X77" s="165"/>
    </row>
    <row r="78" spans="1:26" s="21" customFormat="1" ht="57" hidden="1" customHeight="1" thickBot="1">
      <c r="A78" s="129" t="s">
        <v>532</v>
      </c>
      <c r="B78" s="92" t="s">
        <v>610</v>
      </c>
      <c r="C78" s="170">
        <v>1500</v>
      </c>
      <c r="D78" s="130">
        <f>C13</f>
        <v>1500</v>
      </c>
      <c r="E78" s="131" t="s">
        <v>103</v>
      </c>
      <c r="G78" s="136" t="s">
        <v>611</v>
      </c>
      <c r="H78" s="137" t="s">
        <v>612</v>
      </c>
      <c r="I78" s="138" t="s">
        <v>613</v>
      </c>
      <c r="J78" s="171" t="str">
        <f>IF((D62=1)*(D55="TriggerWidth"),IF(D60&gt;D59,(ROUNDUP((1000*D60/J51),0)*J51+P59)/1000,(ROUNDUP((1000*D59/J51),0)*J51+P59)/1000),"null")</f>
        <v>null</v>
      </c>
      <c r="K78" s="140" t="s">
        <v>489</v>
      </c>
      <c r="M78" s="32" t="s">
        <v>96</v>
      </c>
      <c r="N78" s="33" t="s">
        <v>94</v>
      </c>
      <c r="O78" s="33" t="s">
        <v>98</v>
      </c>
      <c r="P78" s="33" t="s">
        <v>157</v>
      </c>
      <c r="Q78" s="34" t="s">
        <v>100</v>
      </c>
      <c r="S78" s="162" t="s">
        <v>533</v>
      </c>
      <c r="T78" s="119" t="s">
        <v>614</v>
      </c>
      <c r="U78" s="163" t="s">
        <v>615</v>
      </c>
      <c r="V78" s="55" t="s">
        <v>616</v>
      </c>
      <c r="W78" s="164" t="str">
        <f>"0x"&amp;DEC2HEX(J79)</f>
        <v>0xBFA</v>
      </c>
      <c r="X78" s="165"/>
    </row>
    <row r="79" spans="1:26" s="174" customFormat="1" ht="75.75" hidden="1" customHeight="1" thickBot="1">
      <c r="A79" s="172" t="s">
        <v>535</v>
      </c>
      <c r="B79" s="56" t="str">
        <f>"流通道包间隔 
范围:0"&amp;"-"&amp;J73</f>
        <v>流通道包间隔 
范围:0-1126608</v>
      </c>
      <c r="C79" s="173">
        <v>0</v>
      </c>
      <c r="D79" s="130">
        <f>C14</f>
        <v>0</v>
      </c>
      <c r="E79" s="131" t="s">
        <v>104</v>
      </c>
      <c r="G79" s="136" t="s">
        <v>536</v>
      </c>
      <c r="H79" s="137" t="s">
        <v>537</v>
      </c>
      <c r="I79" s="138" t="s">
        <v>617</v>
      </c>
      <c r="J79" s="171">
        <f>MAX(INT(D59*1000/J51),1)</f>
        <v>3066</v>
      </c>
      <c r="K79" s="175" t="s">
        <v>538</v>
      </c>
      <c r="M79" s="44" t="s">
        <v>81</v>
      </c>
      <c r="N79" s="119" t="s">
        <v>203</v>
      </c>
      <c r="O79" s="45" t="s">
        <v>135</v>
      </c>
      <c r="P79" s="46">
        <f>36</f>
        <v>36</v>
      </c>
      <c r="Q79" s="47" t="s">
        <v>103</v>
      </c>
      <c r="S79" s="162" t="s">
        <v>618</v>
      </c>
      <c r="T79" s="119" t="s">
        <v>539</v>
      </c>
      <c r="U79" s="163" t="s">
        <v>540</v>
      </c>
      <c r="V79" s="56" t="s">
        <v>541</v>
      </c>
      <c r="W79" s="164" t="str">
        <f>"0x"&amp;DEC2HEX(IF(D57&lt;=P59/1000,1,J60))</f>
        <v>0x126D</v>
      </c>
      <c r="X79" s="165"/>
    </row>
    <row r="80" spans="1:26" s="174" customFormat="1" ht="50.1" hidden="1" customHeight="1" thickBot="1">
      <c r="A80" s="176" t="s">
        <v>500</v>
      </c>
      <c r="B80" s="97" t="str">
        <f>"预留带宽 
范围:0-"&amp;J75</f>
        <v>预留带宽 
范围:0-99</v>
      </c>
      <c r="C80" s="177">
        <v>10</v>
      </c>
      <c r="D80" s="135">
        <f>C19</f>
        <v>5</v>
      </c>
      <c r="E80" s="89" t="s">
        <v>146</v>
      </c>
      <c r="G80" s="178" t="s">
        <v>542</v>
      </c>
      <c r="H80" s="179"/>
      <c r="I80" s="225" t="s">
        <v>542</v>
      </c>
      <c r="J80" s="225"/>
      <c r="K80" s="180"/>
      <c r="M80" s="58" t="s">
        <v>82</v>
      </c>
      <c r="N80" s="92" t="s">
        <v>182</v>
      </c>
      <c r="O80" s="69" t="s">
        <v>136</v>
      </c>
      <c r="P80" s="70">
        <v>10</v>
      </c>
      <c r="Q80" s="71" t="s">
        <v>103</v>
      </c>
      <c r="S80" s="162" t="s">
        <v>543</v>
      </c>
      <c r="T80" s="119" t="s">
        <v>544</v>
      </c>
      <c r="U80" s="163" t="s">
        <v>619</v>
      </c>
      <c r="V80" s="69" t="s">
        <v>545</v>
      </c>
      <c r="W80" s="164" t="str">
        <f>IF(D57&gt;P60,"0x"&amp;DEC2HEX(MAX(J55,J56,J57,J58)),"0x"&amp;DEC2HEX(MAX(J55,J56+1,J57,J58)))</f>
        <v>0x1424</v>
      </c>
      <c r="X80" s="165"/>
    </row>
    <row r="81" spans="1:26" s="21" customFormat="1" ht="75" hidden="1" customHeight="1" thickBot="1">
      <c r="A81" s="262"/>
      <c r="B81" s="263"/>
      <c r="C81" s="263"/>
      <c r="D81" s="263"/>
      <c r="E81" s="268"/>
      <c r="G81" s="181" t="s">
        <v>620</v>
      </c>
      <c r="H81" s="106" t="s">
        <v>621</v>
      </c>
      <c r="I81" s="106" t="s">
        <v>622</v>
      </c>
      <c r="J81" s="106" t="str">
        <f>IF(D56="Standard","null",J55+J62+J60+ROUNDUP(P59/1000,0))</f>
        <v>null</v>
      </c>
      <c r="K81" s="106" t="s">
        <v>489</v>
      </c>
      <c r="M81" s="182" t="s">
        <v>83</v>
      </c>
      <c r="N81" s="183" t="s">
        <v>183</v>
      </c>
      <c r="O81" s="183" t="s">
        <v>384</v>
      </c>
      <c r="P81" s="203">
        <v>48</v>
      </c>
      <c r="Q81" s="124" t="s">
        <v>103</v>
      </c>
      <c r="S81" s="184" t="s">
        <v>623</v>
      </c>
      <c r="T81" s="36" t="s">
        <v>624</v>
      </c>
      <c r="U81" s="185" t="s">
        <v>546</v>
      </c>
      <c r="V81" s="49" t="s">
        <v>545</v>
      </c>
      <c r="W81" s="186" t="str">
        <f>"0x"&amp;DEC2HEX(MAX(J55,J56))</f>
        <v>0x12AB</v>
      </c>
      <c r="X81" s="165"/>
      <c r="Y81" s="174"/>
    </row>
    <row r="82" spans="1:26" s="21" customFormat="1" ht="43.5" hidden="1" customHeight="1">
      <c r="A82" s="44" t="s">
        <v>625</v>
      </c>
      <c r="B82" s="45" t="s">
        <v>547</v>
      </c>
      <c r="C82" s="45">
        <v>0</v>
      </c>
      <c r="D82" s="85">
        <f>C17</f>
        <v>0</v>
      </c>
      <c r="E82" s="125" t="s">
        <v>142</v>
      </c>
      <c r="G82" s="178" t="s">
        <v>548</v>
      </c>
      <c r="H82" s="179"/>
      <c r="I82" s="225" t="s">
        <v>548</v>
      </c>
      <c r="J82" s="225"/>
      <c r="K82" s="180"/>
      <c r="M82" s="129" t="s">
        <v>53</v>
      </c>
      <c r="N82" s="92" t="s">
        <v>184</v>
      </c>
      <c r="O82" s="92" t="s">
        <v>185</v>
      </c>
      <c r="P82" s="187">
        <f>D70*D71*IF(D53=8,1,IF(OR(D53="RGB8",D53="BGR8"),3,2))</f>
        <v>12288000</v>
      </c>
      <c r="Q82" s="71" t="s">
        <v>103</v>
      </c>
      <c r="S82" s="184" t="s">
        <v>626</v>
      </c>
      <c r="T82" s="36" t="s">
        <v>627</v>
      </c>
      <c r="U82" s="185" t="s">
        <v>628</v>
      </c>
      <c r="V82" s="49" t="s">
        <v>545</v>
      </c>
      <c r="W82" s="186" t="str">
        <f>"0x"&amp;IF(D64="HighSpeed",IF(D56="TriggerWidth",DEC2HEX(MAX(J55,J57)),DEC2HEX(MAX(J55,J56,J57))),IF(D55="TriggerWidth",DEC2HEX(MAX(J55,J57,P96)),DEC2HEX(MAX(J55,J56,J57,P96))))</f>
        <v>0x1322</v>
      </c>
      <c r="X82" s="165"/>
      <c r="Y82" s="174"/>
    </row>
    <row r="83" spans="1:26" s="21" customFormat="1" ht="60" hidden="1" customHeight="1" thickBot="1">
      <c r="A83" s="87" t="s">
        <v>549</v>
      </c>
      <c r="B83" s="66" t="s">
        <v>629</v>
      </c>
      <c r="C83" s="59">
        <f>VLOOKUP($C$48,$S$50:$AQ$58,22,FALSE)</f>
        <v>23</v>
      </c>
      <c r="D83" s="88">
        <f>C16</f>
        <v>24</v>
      </c>
      <c r="E83" s="188" t="s">
        <v>113</v>
      </c>
      <c r="G83" s="189" t="s">
        <v>501</v>
      </c>
      <c r="H83" s="101" t="s">
        <v>550</v>
      </c>
      <c r="I83" s="189" t="s">
        <v>551</v>
      </c>
      <c r="J83" s="243">
        <f>IF(OR(D57&gt;P60,D85=2,D86=2,D91=2,D92=2),J60+IF(D75=1,0,J62)+P58,J55+J60+IF(D75=1,0,J62)+2)</f>
        <v>4779</v>
      </c>
      <c r="K83" s="101" t="s">
        <v>538</v>
      </c>
      <c r="M83" s="58" t="s">
        <v>54</v>
      </c>
      <c r="N83" s="92" t="s">
        <v>186</v>
      </c>
      <c r="O83" s="92" t="s">
        <v>217</v>
      </c>
      <c r="P83" s="190">
        <f>P82+P81*D73</f>
        <v>12288000</v>
      </c>
      <c r="Q83" s="71" t="s">
        <v>103</v>
      </c>
      <c r="S83" s="191" t="s">
        <v>630</v>
      </c>
      <c r="T83" s="119" t="s">
        <v>552</v>
      </c>
      <c r="U83" s="163" t="s">
        <v>631</v>
      </c>
      <c r="V83" s="92" t="s">
        <v>545</v>
      </c>
      <c r="W83" s="164" t="str">
        <f>"0x"&amp;IF((D62=1)*(D55="TriggerWidth"),1,0)</f>
        <v>0x0</v>
      </c>
      <c r="X83" s="165"/>
      <c r="Y83" s="174"/>
    </row>
    <row r="84" spans="1:26" s="21" customFormat="1" ht="126.75" hidden="1" customHeight="1" thickBot="1">
      <c r="A84" s="262" t="s">
        <v>553</v>
      </c>
      <c r="B84" s="263"/>
      <c r="C84" s="263"/>
      <c r="D84" s="263"/>
      <c r="E84" s="268"/>
      <c r="G84" s="271" t="s">
        <v>502</v>
      </c>
      <c r="H84" s="271"/>
      <c r="I84" s="271"/>
      <c r="J84" s="271"/>
      <c r="K84" s="271"/>
      <c r="M84" s="58" t="s">
        <v>60</v>
      </c>
      <c r="N84" s="92" t="s">
        <v>59</v>
      </c>
      <c r="O84" s="69" t="s">
        <v>137</v>
      </c>
      <c r="P84" s="192">
        <f>INT(P83/(D78-P74))</f>
        <v>8393</v>
      </c>
      <c r="Q84" s="71" t="s">
        <v>503</v>
      </c>
      <c r="S84" s="191" t="s">
        <v>632</v>
      </c>
      <c r="T84" s="56" t="s">
        <v>633</v>
      </c>
      <c r="U84" s="56" t="s">
        <v>554</v>
      </c>
      <c r="V84" s="56" t="s">
        <v>504</v>
      </c>
      <c r="W84" s="244" t="e">
        <f>"0x"&amp;DEC2HEX(P55/37.647*VLOOKUP($C$2,$S$4:$AM$21,4,FALSE)-(VLOOKUP($C$2,$S$4:$AM$21,9,FALSE)/VLOOKUP($C$2,$S$4:$AM$21,5,FALSE)/VLOOKUP($C$2,$S$4:$AM$21,6,FALSE)))</f>
        <v>#N/A</v>
      </c>
      <c r="X84" s="193"/>
      <c r="Z84" s="174"/>
    </row>
    <row r="85" spans="1:26" s="21" customFormat="1" ht="30" hidden="1" customHeight="1">
      <c r="A85" s="44" t="s">
        <v>555</v>
      </c>
      <c r="B85" s="79" t="s">
        <v>634</v>
      </c>
      <c r="C85" s="45">
        <v>1</v>
      </c>
      <c r="D85" s="85">
        <f>C8</f>
        <v>1</v>
      </c>
      <c r="E85" s="125" t="s">
        <v>142</v>
      </c>
      <c r="G85" s="181" t="s">
        <v>635</v>
      </c>
      <c r="H85" s="106" t="s">
        <v>636</v>
      </c>
      <c r="I85" s="181" t="s">
        <v>556</v>
      </c>
      <c r="J85" s="106">
        <v>4</v>
      </c>
      <c r="K85" s="106" t="s">
        <v>637</v>
      </c>
      <c r="M85" s="58" t="s">
        <v>62</v>
      </c>
      <c r="N85" s="92" t="s">
        <v>187</v>
      </c>
      <c r="O85" s="69" t="s">
        <v>139</v>
      </c>
      <c r="P85" s="192">
        <f>P83-(D78-P74)*P84</f>
        <v>648</v>
      </c>
      <c r="Q85" s="71" t="s">
        <v>103</v>
      </c>
      <c r="S85" s="191" t="s">
        <v>505</v>
      </c>
      <c r="T85" s="92" t="str">
        <f>IF(OR(C51="A7",C51="KU3P"),"0x01100000","0x77601500")</f>
        <v>0x77601500</v>
      </c>
      <c r="U85" s="163" t="s">
        <v>179</v>
      </c>
      <c r="V85" s="92" t="s">
        <v>142</v>
      </c>
      <c r="W85" s="164" t="s">
        <v>180</v>
      </c>
      <c r="X85" s="194"/>
      <c r="Z85" s="174"/>
    </row>
    <row r="86" spans="1:26" s="174" customFormat="1" ht="119.25" hidden="1" customHeight="1" thickBot="1">
      <c r="A86" s="87" t="s">
        <v>638</v>
      </c>
      <c r="B86" s="66" t="s">
        <v>639</v>
      </c>
      <c r="C86" s="59">
        <v>1</v>
      </c>
      <c r="D86" s="88">
        <f>C9</f>
        <v>1</v>
      </c>
      <c r="E86" s="188" t="s">
        <v>142</v>
      </c>
      <c r="G86" s="195" t="s">
        <v>640</v>
      </c>
      <c r="H86" s="195" t="s">
        <v>641</v>
      </c>
      <c r="I86" s="195" t="s">
        <v>556</v>
      </c>
      <c r="J86" s="195">
        <f>POWER(2,ROUNDUP(LOG(IF(D53="rgb888",3*VLOOKUP($C$48,$S$50:$AT$58,11,FALSE)*VLOOKUP($C$48,$S$50:$AT$58,12,FALSE),IF(D53=12,2*VLOOKUP($C$48,$S$50:$AT$58,11,FALSE)*VLOOKUP($C$48,$S$50:$AT$58,12,FALSE),VLOOKUP($C$48,$S$50:$AT$58,11,FALSE)*VLOOKUP($C$48,$S$50:$AT$58,12,FALSE)))+P79+P80,2),0))</f>
        <v>16777216</v>
      </c>
      <c r="K86" s="195" t="s">
        <v>557</v>
      </c>
      <c r="M86" s="54" t="s">
        <v>61</v>
      </c>
      <c r="N86" s="56" t="s">
        <v>40</v>
      </c>
      <c r="O86" s="55" t="s">
        <v>214</v>
      </c>
      <c r="P86" s="70">
        <f>IF(MOD(P82,(D78-P74))=0,0,1)</f>
        <v>1</v>
      </c>
      <c r="Q86" s="71" t="s">
        <v>642</v>
      </c>
      <c r="S86" s="196" t="s">
        <v>643</v>
      </c>
      <c r="T86" s="67" t="s">
        <v>558</v>
      </c>
      <c r="U86" s="67" t="s">
        <v>644</v>
      </c>
      <c r="V86" s="67" t="s">
        <v>508</v>
      </c>
      <c r="W86" s="197" t="str">
        <f>"0x"&amp;DEC2HEX(D78-P74)</f>
        <v>0x5B8</v>
      </c>
      <c r="X86" s="198" t="s">
        <v>645</v>
      </c>
      <c r="Y86" s="21"/>
    </row>
    <row r="87" spans="1:26" s="174" customFormat="1" ht="55.5" hidden="1" customHeight="1" thickBot="1">
      <c r="A87" s="262" t="s">
        <v>646</v>
      </c>
      <c r="B87" s="263"/>
      <c r="C87" s="263"/>
      <c r="D87" s="263"/>
      <c r="E87" s="268"/>
      <c r="G87" s="189" t="s">
        <v>647</v>
      </c>
      <c r="H87" s="101" t="s">
        <v>648</v>
      </c>
      <c r="I87" s="189" t="s">
        <v>506</v>
      </c>
      <c r="J87" s="101">
        <f>IF(J85=1,1024*1024*1024,IF(J85=2,2*1024*1024*1024,4*1024*1024*1024))/(8*J86)-1</f>
        <v>31</v>
      </c>
      <c r="K87" s="101" t="s">
        <v>556</v>
      </c>
      <c r="M87" s="58" t="s">
        <v>63</v>
      </c>
      <c r="N87" s="92" t="s">
        <v>188</v>
      </c>
      <c r="O87" s="55" t="s">
        <v>140</v>
      </c>
      <c r="P87" s="192">
        <f>IF(P85&lt;P76,P76,P85)</f>
        <v>648</v>
      </c>
      <c r="Q87" s="71" t="s">
        <v>103</v>
      </c>
      <c r="S87" s="191" t="s">
        <v>649</v>
      </c>
      <c r="T87" s="56" t="s">
        <v>510</v>
      </c>
      <c r="U87" s="56" t="s">
        <v>650</v>
      </c>
      <c r="V87" s="56" t="s">
        <v>651</v>
      </c>
      <c r="W87" s="56" t="str">
        <f>"0x"&amp;DEC2HEX(J71)</f>
        <v>0x0</v>
      </c>
      <c r="X87" s="269" t="s">
        <v>513</v>
      </c>
      <c r="Y87" s="21"/>
      <c r="Z87" s="21"/>
    </row>
    <row r="88" spans="1:26" s="174" customFormat="1" ht="86.25" hidden="1" customHeight="1" thickBot="1">
      <c r="A88" s="44" t="s">
        <v>652</v>
      </c>
      <c r="B88" s="79" t="s">
        <v>559</v>
      </c>
      <c r="C88" s="45">
        <v>1</v>
      </c>
      <c r="D88" s="85">
        <v>1</v>
      </c>
      <c r="E88" s="125" t="s">
        <v>142</v>
      </c>
      <c r="M88" s="54" t="s">
        <v>64</v>
      </c>
      <c r="N88" s="56" t="s">
        <v>189</v>
      </c>
      <c r="O88" s="55" t="s">
        <v>141</v>
      </c>
      <c r="P88" s="192">
        <f>P75+P74+P79</f>
        <v>98</v>
      </c>
      <c r="Q88" s="71" t="s">
        <v>103</v>
      </c>
      <c r="S88" s="199" t="s">
        <v>653</v>
      </c>
      <c r="T88" s="138" t="s">
        <v>654</v>
      </c>
      <c r="U88" s="138" t="s">
        <v>655</v>
      </c>
      <c r="V88" s="138" t="s">
        <v>515</v>
      </c>
      <c r="W88" s="138" t="str">
        <f>"0x"&amp;DEC2HEX(J70)</f>
        <v>0x2</v>
      </c>
      <c r="X88" s="270"/>
      <c r="Y88" s="21"/>
      <c r="Z88" s="21"/>
    </row>
    <row r="89" spans="1:26" s="21" customFormat="1" ht="52.5" hidden="1" customHeight="1" thickBot="1">
      <c r="A89" s="87" t="s">
        <v>656</v>
      </c>
      <c r="B89" s="66" t="s">
        <v>560</v>
      </c>
      <c r="C89" s="59">
        <v>1</v>
      </c>
      <c r="D89" s="88">
        <v>1</v>
      </c>
      <c r="E89" s="188" t="s">
        <v>142</v>
      </c>
      <c r="G89" s="174" t="s">
        <v>561</v>
      </c>
      <c r="H89" s="174">
        <f>C70*8*IF(D53=8,1,2)/J51/(IF(D85=2,2,1))</f>
        <v>3.8641509433962264</v>
      </c>
      <c r="I89" s="174" t="s">
        <v>657</v>
      </c>
      <c r="J89" s="174"/>
      <c r="K89" s="174"/>
      <c r="M89" s="54" t="s">
        <v>65</v>
      </c>
      <c r="N89" s="56" t="s">
        <v>190</v>
      </c>
      <c r="O89" s="55" t="s">
        <v>191</v>
      </c>
      <c r="P89" s="192">
        <f>P75+P74+P80</f>
        <v>72</v>
      </c>
      <c r="Q89" s="71" t="s">
        <v>103</v>
      </c>
      <c r="S89" s="200" t="s">
        <v>658</v>
      </c>
      <c r="T89" s="201" t="s">
        <v>659</v>
      </c>
      <c r="U89" s="202" t="s">
        <v>444</v>
      </c>
      <c r="V89" s="203" t="s">
        <v>660</v>
      </c>
      <c r="W89" s="204" t="str">
        <f>"0x"&amp;DEC2HEX(J61)</f>
        <v>0x0</v>
      </c>
      <c r="X89" s="165"/>
    </row>
    <row r="90" spans="1:26" s="21" customFormat="1" ht="66.75" hidden="1" customHeight="1" thickBot="1">
      <c r="A90" s="262" t="s">
        <v>661</v>
      </c>
      <c r="B90" s="263"/>
      <c r="C90" s="263"/>
      <c r="D90" s="263"/>
      <c r="E90" s="268"/>
      <c r="G90" s="174" t="s">
        <v>662</v>
      </c>
      <c r="H90" s="174">
        <f>J67*8/1000/1000/1000</f>
        <v>2.3435588591816665</v>
      </c>
      <c r="I90" s="174"/>
      <c r="J90" s="174"/>
      <c r="K90" s="174"/>
      <c r="M90" s="54" t="s">
        <v>66</v>
      </c>
      <c r="N90" s="56" t="s">
        <v>41</v>
      </c>
      <c r="O90" s="55" t="s">
        <v>447</v>
      </c>
      <c r="P90" s="192">
        <f>P84*(D78+P75)+P86*(P87+P75+P74)</f>
        <v>12808428</v>
      </c>
      <c r="Q90" s="71" t="s">
        <v>103</v>
      </c>
    </row>
    <row r="91" spans="1:26" s="21" customFormat="1" ht="45" hidden="1" customHeight="1">
      <c r="A91" s="44" t="s">
        <v>514</v>
      </c>
      <c r="B91" s="79" t="s">
        <v>559</v>
      </c>
      <c r="C91" s="45">
        <v>1</v>
      </c>
      <c r="D91" s="85">
        <v>1</v>
      </c>
      <c r="E91" s="125" t="s">
        <v>142</v>
      </c>
      <c r="G91" s="84" t="s">
        <v>663</v>
      </c>
      <c r="H91" s="84">
        <f>I91-H90</f>
        <v>9.4964411408183338</v>
      </c>
      <c r="I91" s="174">
        <f>16*0.74</f>
        <v>11.84</v>
      </c>
      <c r="M91" s="209" t="s">
        <v>67</v>
      </c>
      <c r="N91" s="56" t="s">
        <v>192</v>
      </c>
      <c r="O91" s="56" t="s">
        <v>193</v>
      </c>
      <c r="P91" s="210">
        <f>(2+P86+P84)*P98</f>
        <v>167920</v>
      </c>
      <c r="Q91" s="124" t="s">
        <v>103</v>
      </c>
      <c r="U91" s="115"/>
    </row>
    <row r="92" spans="1:26" s="21" customFormat="1" ht="45" hidden="1" customHeight="1" thickBot="1">
      <c r="A92" s="87" t="s">
        <v>516</v>
      </c>
      <c r="B92" s="66" t="s">
        <v>664</v>
      </c>
      <c r="C92" s="59">
        <v>1</v>
      </c>
      <c r="D92" s="88">
        <v>1</v>
      </c>
      <c r="E92" s="188" t="s">
        <v>142</v>
      </c>
      <c r="G92" s="84" t="s">
        <v>665</v>
      </c>
      <c r="H92" s="96">
        <f>H91-H89</f>
        <v>5.6322901974221073</v>
      </c>
      <c r="I92" s="84" t="s">
        <v>666</v>
      </c>
      <c r="M92" s="129" t="s">
        <v>68</v>
      </c>
      <c r="N92" s="92" t="s">
        <v>194</v>
      </c>
      <c r="O92" s="92" t="s">
        <v>144</v>
      </c>
      <c r="P92" s="187">
        <f>P88+P89+P90+P91</f>
        <v>12976518</v>
      </c>
      <c r="Q92" s="124" t="s">
        <v>103</v>
      </c>
      <c r="U92" s="115"/>
    </row>
    <row r="93" spans="1:26" s="21" customFormat="1" ht="45" hidden="1" customHeight="1">
      <c r="A93" s="245" t="s">
        <v>44</v>
      </c>
      <c r="B93" s="246"/>
      <c r="C93" s="246"/>
      <c r="D93" s="246"/>
      <c r="E93" s="247"/>
      <c r="G93" s="84" t="s">
        <v>667</v>
      </c>
      <c r="H93" s="84">
        <f>H89-H90</f>
        <v>1.5205920842145599</v>
      </c>
      <c r="I93" s="84" t="s">
        <v>668</v>
      </c>
      <c r="M93" s="209" t="s">
        <v>70</v>
      </c>
      <c r="N93" s="56" t="s">
        <v>69</v>
      </c>
      <c r="O93" s="56" t="s">
        <v>195</v>
      </c>
      <c r="P93" s="57">
        <f>INT(1000000*D77*(100-D80)/80)</f>
        <v>2968750000</v>
      </c>
      <c r="Q93" s="211" t="s">
        <v>196</v>
      </c>
      <c r="U93" s="115"/>
    </row>
    <row r="94" spans="1:26" s="21" customFormat="1" ht="60" hidden="1" customHeight="1" thickBot="1">
      <c r="A94" s="205" t="s">
        <v>43</v>
      </c>
      <c r="B94" s="206" t="s">
        <v>89</v>
      </c>
      <c r="C94" s="206"/>
      <c r="D94" s="207">
        <f>J53</f>
        <v>22.8712576904604</v>
      </c>
      <c r="E94" s="208"/>
      <c r="G94" s="84"/>
      <c r="H94" s="84"/>
      <c r="I94" s="84"/>
      <c r="M94" s="212" t="s">
        <v>72</v>
      </c>
      <c r="N94" s="90" t="s">
        <v>71</v>
      </c>
      <c r="O94" s="90" t="s">
        <v>215</v>
      </c>
      <c r="P94" s="108">
        <f>ROUNDUP(P92*1000000/P93,0)*10</f>
        <v>43720</v>
      </c>
      <c r="Q94" s="89" t="s">
        <v>110</v>
      </c>
    </row>
    <row r="95" spans="1:26" s="21" customFormat="1" ht="78" hidden="1" customHeight="1" thickBot="1">
      <c r="G95" s="84"/>
      <c r="H95" s="84"/>
      <c r="I95" s="84"/>
      <c r="M95" s="3" t="s">
        <v>520</v>
      </c>
      <c r="N95" s="189" t="s">
        <v>521</v>
      </c>
      <c r="O95" s="189" t="s">
        <v>522</v>
      </c>
      <c r="P95" s="213">
        <f>INT(1000000*D77*(100)/80)</f>
        <v>3125000000</v>
      </c>
      <c r="Q95" s="214" t="s">
        <v>523</v>
      </c>
    </row>
    <row r="96" spans="1:26" s="21" customFormat="1" ht="71.25" hidden="1" customHeight="1" thickBot="1">
      <c r="M96" s="215" t="s">
        <v>524</v>
      </c>
      <c r="N96" s="216" t="s">
        <v>525</v>
      </c>
      <c r="O96" s="217" t="s">
        <v>215</v>
      </c>
      <c r="P96" s="218">
        <f>IF(D56="Ultrashort",ROUNDUP(P92*1000000/P95,0)*10,ROUNDUP(ROUNDUP(P92*1000000/P95,0)*10*1000/J51,0))</f>
        <v>4898</v>
      </c>
      <c r="Q96" s="89" t="str">
        <f>IF(D56="Ultrashort","us","line")</f>
        <v>line</v>
      </c>
    </row>
    <row r="97" spans="1:46" s="21" customFormat="1" ht="30" hidden="1" customHeight="1" thickBot="1">
      <c r="M97" s="248" t="s">
        <v>458</v>
      </c>
      <c r="N97" s="249"/>
      <c r="O97" s="249"/>
      <c r="P97" s="249"/>
      <c r="Q97" s="250"/>
    </row>
    <row r="98" spans="1:46" s="21" customFormat="1" ht="45" hidden="1" customHeight="1">
      <c r="M98" s="219" t="s">
        <v>459</v>
      </c>
      <c r="N98" s="220" t="s">
        <v>460</v>
      </c>
      <c r="O98" s="56" t="s">
        <v>461</v>
      </c>
      <c r="P98" s="57">
        <f>MAX(ROUNDUP(D79*D77/1000/8,0),P73+8)</f>
        <v>20</v>
      </c>
      <c r="Q98" s="124" t="s">
        <v>462</v>
      </c>
    </row>
    <row r="99" spans="1:46" s="21" customFormat="1" ht="30" hidden="1" customHeight="1" thickBot="1">
      <c r="M99" s="136" t="s">
        <v>463</v>
      </c>
      <c r="N99" s="137" t="s">
        <v>464</v>
      </c>
      <c r="O99" s="138" t="s">
        <v>465</v>
      </c>
      <c r="P99" s="139">
        <f>ROUNDDOWN((P93-(P90+P89+P88))/(P84+P86+2),0)</f>
        <v>352065</v>
      </c>
      <c r="Q99" s="140" t="s">
        <v>462</v>
      </c>
    </row>
    <row r="100" spans="1:46" s="21" customFormat="1" ht="18.7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</row>
  </sheetData>
  <sheetProtection algorithmName="SHA-512" hashValue="pbNo9oHt1i4RgavY+yOyhbI5bOZHInYKCXCVZE2NEZHRtTp+rFZkldGd0lIwZvJJwRceLNuKq6N68OKH6ubqFg==" saltValue="YMBu30qIPNu+qOtHO1Kqhw==" spinCount="100000" sheet="1" objects="1" scenarios="1" selectLockedCells="1"/>
  <mergeCells count="29">
    <mergeCell ref="X87:X88"/>
    <mergeCell ref="A90:E90"/>
    <mergeCell ref="A74:E74"/>
    <mergeCell ref="A76:E76"/>
    <mergeCell ref="M77:Q77"/>
    <mergeCell ref="A81:E81"/>
    <mergeCell ref="A84:E84"/>
    <mergeCell ref="G84:K84"/>
    <mergeCell ref="S48:AT48"/>
    <mergeCell ref="G49:K49"/>
    <mergeCell ref="M49:Q49"/>
    <mergeCell ref="S73:X73"/>
    <mergeCell ref="A50:E50"/>
    <mergeCell ref="A52:E52"/>
    <mergeCell ref="A54:E54"/>
    <mergeCell ref="G54:K54"/>
    <mergeCell ref="G59:K59"/>
    <mergeCell ref="A61:E61"/>
    <mergeCell ref="M64:Q64"/>
    <mergeCell ref="A65:E65"/>
    <mergeCell ref="G65:K65"/>
    <mergeCell ref="A67:D67"/>
    <mergeCell ref="A72:E72"/>
    <mergeCell ref="A93:E93"/>
    <mergeCell ref="M97:Q97"/>
    <mergeCell ref="E48:E49"/>
    <mergeCell ref="G48:K48"/>
    <mergeCell ref="M48:Q48"/>
    <mergeCell ref="A87:E87"/>
  </mergeCells>
  <phoneticPr fontId="9" type="noConversion"/>
  <dataValidations count="42"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Input range:[8,'WidthMax'],and is an integer multiple of 8" sqref="C4">
      <formula1>AND((C4&lt;=C2),(C4&gt;=8),(MOD(C4,8)=0))</formula1>
    </dataValidation>
    <dataValidation type="custom" allowBlank="1" showInputMessage="1" showErrorMessage="1" error="Input range:[8,'HeightMax'],and is an integer multiple of 8" sqref="C5">
      <formula1>AND((C5&lt;=C3),(C5&gt;=8),(MOD(C5,8)=0))</formula1>
    </dataValidation>
    <dataValidation type="whole" allowBlank="1" showInputMessage="1" showErrorMessage="1" error="Set the value range:[ 0,'GevSCPDMaxValue']" sqref="C14">
      <formula1>0</formula1>
      <formula2>C15</formula2>
    </dataValidation>
    <dataValidation allowBlank="1" showInputMessage="1" showErrorMessage="1" error="输入范围是64~1024，步长为2" sqref="A1:C1"/>
    <dataValidation type="custom" allowBlank="1" showInputMessage="1" showErrorMessage="1" error="输入参数值为1或者2，并且当水平像素抽样不为1时不能输入" sqref="C6">
      <formula1>AND(OR((C6=1),(C6=2)),C8=1)</formula1>
    </dataValidation>
    <dataValidation type="custom" allowBlank="1" showInputMessage="1" showErrorMessage="1" error="输入参数值为1或者2，并且当垂直像素抽样不为1时不能输入" sqref="C7">
      <formula1>AND(OR((C7=1),(C7=2)),C9=1)</formula1>
    </dataValidation>
    <dataValidation type="custom" allowBlank="1" showInputMessage="1" showErrorMessage="1" error="Input 1 or 2" sqref="C8:C9">
      <formula1>AND(OR((C8=1),(C8=2)),C6=1)</formula1>
    </dataValidation>
    <dataValidation type="whole" allowBlank="1" showInputMessage="1" showErrorMessage="1" error="The input range :[3,15000000]" sqref="C10">
      <formula1>3</formula1>
      <formula2>15000000</formula2>
    </dataValidation>
    <dataValidation type="custom" allowBlank="1" showInputMessage="1" showErrorMessage="1" error="Please enter 8、12、RGB8 or BGR8" sqref="C12">
      <formula1>OR((C12=8),(C12=12),(C12="RGB8"),(C12="BGR8"))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custom" allowBlank="1" showInputMessage="1" showErrorMessage="1" error="Set the value range :[ 0.1,10000.0], accurate to one decimal" sqref="C16">
      <formula1>AND(TRUNC(C16,1)=C16,(C16&gt;=0.1),(C16&lt;=10000))</formula1>
    </dataValidation>
    <dataValidation type="custom" allowBlank="1" showInputMessage="1" showErrorMessage="1" error="Please enter a 0 or 1" sqref="C21 C17">
      <formula1>OR((C17=0),(C17=1))</formula1>
    </dataValidation>
    <dataValidation type="custom" allowBlank="1" showInputMessage="1" showErrorMessage="1" error="Please enter 2500 or 1000" sqref="C18">
      <formula1>OR((C18=2500),(C18=1000))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allowBlank="1" showInputMessage="1" showErrorMessage="1" error="Set the value to exceed the maximum" sqref="C15"/>
    <dataValidation allowBlank="1" showInputMessage="1" showErrorMessage="1" error="The setting value exceeds the reserved bandwidth range" sqref="C20"/>
    <dataValidation type="whole" allowBlank="1" showInputMessage="1" showErrorMessage="1" errorTitle="超出范围" error="触发延时的范围是0-3000000us" sqref="D66">
      <formula1>0</formula1>
      <formula2>3000000</formula2>
    </dataValidation>
    <dataValidation type="list" allowBlank="1" showInputMessage="1" showErrorMessage="1" sqref="C48">
      <formula1>$S$4:$S$18</formula1>
    </dataValidation>
    <dataValidation type="whole" allowBlank="1" showInputMessage="1" showErrorMessage="1" errorTitle="输入数值非法" error="最小值4，最大值D12" sqref="D70">
      <formula1>4</formula1>
      <formula2>C70</formula2>
    </dataValidation>
    <dataValidation type="list" allowBlank="1" showInputMessage="1" showErrorMessage="1" sqref="C49">
      <formula1>$AQ$4:$AQ$7</formula1>
    </dataValidation>
    <dataValidation type="whole" allowBlank="1" showInputMessage="1" showErrorMessage="1" errorTitle="超出范围" error="曝光延迟的范围是0-5000us" sqref="D58">
      <formula1>0</formula1>
      <formula2>5000</formula2>
    </dataValidation>
    <dataValidation type="list" allowBlank="1" showInputMessage="1" showErrorMessage="1" sqref="D53">
      <formula1>"8,12,RGB8,BGR8"</formula1>
    </dataValidation>
    <dataValidation type="whole" allowBlank="1" showInputMessage="1" showErrorMessage="1" errorTitle="超出范围" error="曝光时间的范围是14us-1s" sqref="D57">
      <formula1>10</formula1>
      <formula2>1000000</formula2>
    </dataValidation>
    <dataValidation type="whole" allowBlank="1" showInputMessage="1" showErrorMessage="1" errorTitle="输入数值非法" error="最小值2，最大值D13" sqref="D71">
      <formula1>2</formula1>
      <formula2>C71</formula2>
    </dataValidation>
    <dataValidation type="list" allowBlank="1" showInputMessage="1" showErrorMessage="1" sqref="D73 D75 D62:D63">
      <formula1>"0,1"</formula1>
    </dataValidation>
    <dataValidation type="list" allowBlank="1" showInputMessage="1" showErrorMessage="1" sqref="D77">
      <formula1>"1000,2500"</formula1>
    </dataValidation>
    <dataValidation type="custom" allowBlank="1" showInputMessage="1" showErrorMessage="1" sqref="D78">
      <formula1>AND(MOD(D78,4)=0,D78&gt;=512,D78&lt;=16384)</formula1>
    </dataValidation>
    <dataValidation type="list" allowBlank="1" showInputMessage="1" showErrorMessage="1" errorTitle="超出范围" error="0:关闭_x000a_1:打开" sqref="D82">
      <formula1>"0,1"</formula1>
    </dataValidation>
    <dataValidation type="decimal" allowBlank="1" showInputMessage="1" showErrorMessage="1" sqref="D83">
      <formula1>0.1</formula1>
      <formula2>10000</formula2>
    </dataValidation>
    <dataValidation type="whole" operator="lessThanOrEqual" allowBlank="1" showInputMessage="1" showErrorMessage="1" error="Binning/Skipping系数最大为2" prompt="设置水平Binning/Skipping时，需要同步修改水平ROI" sqref="D88 D85 D91">
      <formula1>2</formula1>
    </dataValidation>
    <dataValidation type="whole" operator="lessThanOrEqual" allowBlank="1" showInputMessage="1" showErrorMessage="1" error="Binning/Skipping系数最大为2" prompt="设置垂直Binning/Skipping时，需要同步修改垂直ROI" sqref="D89 D86 D92">
      <formula1>2</formula1>
    </dataValidation>
    <dataValidation type="list" allowBlank="1" showInputMessage="1" showErrorMessage="1" errorTitle="超出范围" error="曝光时间的范围是14us-1s" sqref="D55">
      <formula1>"Timed,TriggerWidth"</formula1>
    </dataValidation>
    <dataValidation type="whole" allowBlank="1" showInputMessage="1" showErrorMessage="1" errorTitle="输入数值非法" error="最小值2，最大值1000000" sqref="D60">
      <formula1>0</formula1>
      <formula2>1000000</formula2>
    </dataValidation>
    <dataValidation type="whole" operator="lessThanOrEqual" allowBlank="1" showInputMessage="1" showErrorMessage="1" sqref="D68:D69">
      <formula1>C70</formula1>
    </dataValidation>
    <dataValidation type="list" allowBlank="1" showInputMessage="1" showErrorMessage="1" errorTitle="超出范围" error="曝光时间的范围是14us-1s" sqref="D56">
      <formula1>"Standard,Ultrashort"</formula1>
    </dataValidation>
    <dataValidation type="whole" allowBlank="1" showInputMessage="1" showErrorMessage="1" errorTitle="设置值超出范围" error="预留带宽设置值超出范围" sqref="D80">
      <formula1>0</formula1>
      <formula2>J75</formula2>
    </dataValidation>
    <dataValidation type="whole" allowBlank="1" showInputMessage="1" showErrorMessage="1" errorTitle="设置值超出范围" error="包间隔设置值超出范围" sqref="D79">
      <formula1>0</formula1>
      <formula2>J73</formula2>
    </dataValidation>
    <dataValidation type="list" allowBlank="1" showInputMessage="1" showErrorMessage="1" sqref="D49">
      <formula1>"BPP8,BPP10,BPP12"</formula1>
    </dataValidation>
    <dataValidation type="whole" allowBlank="1" showInputMessage="1" showErrorMessage="1" errorTitle="输入数值非法" error="最小值4，最大值D12" sqref="D59">
      <formula1>0</formula1>
      <formula2>INT(J55*J51/1000)</formula2>
    </dataValidation>
    <dataValidation type="list" allowBlank="1" showInputMessage="1" showErrorMessage="1" prompt="突发采集模式只能在触发模式下选择" sqref="D64">
      <formula1>"Standard,HighSpeed"</formula1>
    </dataValidation>
    <dataValidation type="list" allowBlank="1" showInputMessage="1" showErrorMessage="1" sqref="J85">
      <formula1>"1,2,4"</formula1>
    </dataValidation>
  </dataValidations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0"/>
  <sheetViews>
    <sheetView topLeftCell="B1" workbookViewId="0">
      <selection activeCell="C9" sqref="C9"/>
    </sheetView>
  </sheetViews>
  <sheetFormatPr defaultRowHeight="13.5"/>
  <cols>
    <col min="1" max="1" width="20" hidden="1" customWidth="1"/>
    <col min="2" max="2" width="32.875" customWidth="1"/>
    <col min="3" max="3" width="16.625" customWidth="1"/>
    <col min="4" max="4" width="11" customWidth="1"/>
    <col min="16" max="16" width="9.5" bestFit="1" customWidth="1"/>
  </cols>
  <sheetData>
    <row r="1" spans="1:4">
      <c r="A1" s="12" t="s">
        <v>4</v>
      </c>
      <c r="B1" s="12"/>
      <c r="C1" s="13"/>
    </row>
    <row r="2" spans="1:4">
      <c r="A2" s="6" t="s">
        <v>5</v>
      </c>
      <c r="B2" s="6" t="s">
        <v>6</v>
      </c>
      <c r="C2" s="6">
        <f>C70</f>
        <v>2840</v>
      </c>
    </row>
    <row r="3" spans="1:4">
      <c r="A3" s="6" t="s">
        <v>7</v>
      </c>
      <c r="B3" s="6" t="s">
        <v>8</v>
      </c>
      <c r="C3" s="6">
        <f>C71</f>
        <v>2840</v>
      </c>
    </row>
    <row r="4" spans="1:4">
      <c r="A4" s="12" t="s">
        <v>9</v>
      </c>
      <c r="B4" s="12" t="s">
        <v>10</v>
      </c>
      <c r="C4" s="14">
        <v>2840</v>
      </c>
      <c r="D4" s="15" t="str">
        <f>IF(OR(C4&gt;C2,C4&lt;8),B41,"")</f>
        <v/>
      </c>
    </row>
    <row r="5" spans="1:4">
      <c r="A5" s="12" t="s">
        <v>11</v>
      </c>
      <c r="B5" s="12" t="s">
        <v>12</v>
      </c>
      <c r="C5" s="14">
        <v>2840</v>
      </c>
      <c r="D5" s="15" t="str">
        <f>IF(OR(C5&gt;C3,C5&lt;8),B42,"")</f>
        <v/>
      </c>
    </row>
    <row r="6" spans="1:4" hidden="1">
      <c r="A6" s="6" t="s">
        <v>13</v>
      </c>
      <c r="B6" s="6" t="s">
        <v>14</v>
      </c>
      <c r="C6" s="7">
        <v>1</v>
      </c>
    </row>
    <row r="7" spans="1:4" hidden="1">
      <c r="A7" s="6" t="s">
        <v>15</v>
      </c>
      <c r="B7" s="6" t="s">
        <v>16</v>
      </c>
      <c r="C7" s="7">
        <v>1</v>
      </c>
    </row>
    <row r="8" spans="1:4">
      <c r="A8" s="6" t="s">
        <v>17</v>
      </c>
      <c r="B8" s="6" t="s">
        <v>469</v>
      </c>
      <c r="C8" s="7">
        <v>1</v>
      </c>
      <c r="D8" s="16" t="str">
        <f>IF(C8&lt;&gt;C9,B44,"")</f>
        <v/>
      </c>
    </row>
    <row r="9" spans="1:4">
      <c r="A9" s="6" t="s">
        <v>18</v>
      </c>
      <c r="B9" s="6" t="s">
        <v>470</v>
      </c>
      <c r="C9" s="7">
        <v>1</v>
      </c>
      <c r="D9" s="16"/>
    </row>
    <row r="10" spans="1:4">
      <c r="A10" s="12" t="s">
        <v>19</v>
      </c>
      <c r="B10" s="12" t="s">
        <v>20</v>
      </c>
      <c r="C10" s="14">
        <v>20000</v>
      </c>
    </row>
    <row r="11" spans="1:4">
      <c r="A11" s="12" t="s">
        <v>21</v>
      </c>
      <c r="B11" s="12" t="s">
        <v>22</v>
      </c>
      <c r="C11" s="14">
        <v>0</v>
      </c>
    </row>
    <row r="12" spans="1:4">
      <c r="A12" s="12" t="s">
        <v>23</v>
      </c>
      <c r="B12" s="12" t="s">
        <v>477</v>
      </c>
      <c r="C12" s="221">
        <v>8</v>
      </c>
    </row>
    <row r="13" spans="1:4">
      <c r="A13" s="12" t="s">
        <v>24</v>
      </c>
      <c r="B13" s="12" t="s">
        <v>25</v>
      </c>
      <c r="C13" s="14">
        <v>1500</v>
      </c>
    </row>
    <row r="14" spans="1:4">
      <c r="A14" s="12" t="s">
        <v>26</v>
      </c>
      <c r="B14" s="12" t="s">
        <v>27</v>
      </c>
      <c r="C14" s="14">
        <v>0</v>
      </c>
    </row>
    <row r="15" spans="1:4">
      <c r="A15" s="12" t="s">
        <v>28</v>
      </c>
      <c r="B15" s="12" t="s">
        <v>29</v>
      </c>
      <c r="C15" s="17">
        <f>J73</f>
        <v>1718631</v>
      </c>
    </row>
    <row r="16" spans="1:4">
      <c r="A16" s="12" t="s">
        <v>30</v>
      </c>
      <c r="B16" s="12" t="s">
        <v>31</v>
      </c>
      <c r="C16" s="14">
        <v>36</v>
      </c>
    </row>
    <row r="17" spans="1:4">
      <c r="A17" s="12" t="s">
        <v>32</v>
      </c>
      <c r="B17" s="12" t="s">
        <v>33</v>
      </c>
      <c r="C17" s="14">
        <v>0</v>
      </c>
    </row>
    <row r="18" spans="1:4">
      <c r="A18" s="12" t="s">
        <v>34</v>
      </c>
      <c r="B18" s="12" t="s">
        <v>35</v>
      </c>
      <c r="C18" s="14">
        <v>2500</v>
      </c>
    </row>
    <row r="19" spans="1:4">
      <c r="A19" s="12" t="s">
        <v>36</v>
      </c>
      <c r="B19" s="12" t="s">
        <v>37</v>
      </c>
      <c r="C19" s="14">
        <v>5</v>
      </c>
    </row>
    <row r="20" spans="1:4">
      <c r="A20" s="12" t="s">
        <v>38</v>
      </c>
      <c r="B20" s="12" t="s">
        <v>39</v>
      </c>
      <c r="C20" s="17">
        <f>J75</f>
        <v>99</v>
      </c>
    </row>
    <row r="21" spans="1:4">
      <c r="A21" s="17" t="s">
        <v>46</v>
      </c>
      <c r="B21" s="17" t="s">
        <v>47</v>
      </c>
      <c r="C21" s="14">
        <v>0</v>
      </c>
    </row>
    <row r="22" spans="1:4">
      <c r="A22" s="12"/>
      <c r="B22" s="12"/>
      <c r="C22" s="17"/>
    </row>
    <row r="23" spans="1:4" ht="14.25">
      <c r="A23" s="18" t="s">
        <v>44</v>
      </c>
      <c r="B23" s="18"/>
      <c r="C23" s="19"/>
    </row>
    <row r="24" spans="1:4" ht="14.25">
      <c r="A24" s="18" t="s">
        <v>43</v>
      </c>
      <c r="B24" s="18" t="s">
        <v>45</v>
      </c>
      <c r="C24" s="20">
        <f>D94</f>
        <v>34.841991568238043</v>
      </c>
      <c r="D24" s="15" t="str">
        <f>IF(B39=1,B43,"")</f>
        <v/>
      </c>
    </row>
    <row r="37" spans="1:46" hidden="1"/>
    <row r="38" spans="1:46" hidden="1">
      <c r="B38" s="5" t="s">
        <v>472</v>
      </c>
    </row>
    <row r="39" spans="1:46" hidden="1">
      <c r="B39">
        <f>IF(OR(OR(C4&gt;C2,C4&lt;8),OR(C5&gt;C3,C5&lt;8)),1,0)</f>
        <v>0</v>
      </c>
    </row>
    <row r="40" spans="1:46" hidden="1">
      <c r="B40" s="5" t="s">
        <v>467</v>
      </c>
    </row>
    <row r="41" spans="1:46" hidden="1">
      <c r="B41" s="5" t="s">
        <v>466</v>
      </c>
    </row>
    <row r="42" spans="1:46" hidden="1">
      <c r="B42" s="5" t="s">
        <v>473</v>
      </c>
    </row>
    <row r="43" spans="1:46" hidden="1">
      <c r="B43" s="5" t="s">
        <v>468</v>
      </c>
    </row>
    <row r="44" spans="1:46" hidden="1">
      <c r="B44" s="5" t="s">
        <v>471</v>
      </c>
    </row>
    <row r="45" spans="1:46" hidden="1"/>
    <row r="46" spans="1:46" hidden="1">
      <c r="B46" s="5"/>
    </row>
    <row r="47" spans="1:46" s="21" customFormat="1" ht="30" hidden="1" customHeight="1" thickBot="1"/>
    <row r="48" spans="1:46" s="21" customFormat="1" ht="30" hidden="1" customHeight="1" thickBot="1">
      <c r="A48" s="22" t="s">
        <v>91</v>
      </c>
      <c r="B48" s="22" t="s">
        <v>92</v>
      </c>
      <c r="C48" s="23" t="s">
        <v>669</v>
      </c>
      <c r="D48" s="23" t="s">
        <v>670</v>
      </c>
      <c r="E48" s="251" t="s">
        <v>220</v>
      </c>
      <c r="F48" s="24"/>
      <c r="G48" s="253" t="s">
        <v>93</v>
      </c>
      <c r="H48" s="254"/>
      <c r="I48" s="254"/>
      <c r="J48" s="254"/>
      <c r="K48" s="255"/>
      <c r="L48" s="25"/>
      <c r="M48" s="253" t="s">
        <v>150</v>
      </c>
      <c r="N48" s="254"/>
      <c r="O48" s="254"/>
      <c r="P48" s="254"/>
      <c r="Q48" s="255"/>
      <c r="R48" s="25"/>
      <c r="S48" s="256" t="s">
        <v>151</v>
      </c>
      <c r="T48" s="257"/>
      <c r="U48" s="257"/>
      <c r="V48" s="257"/>
      <c r="W48" s="257"/>
      <c r="X48" s="257"/>
      <c r="Y48" s="257"/>
      <c r="Z48" s="257"/>
      <c r="AA48" s="257"/>
      <c r="AB48" s="257"/>
      <c r="AC48" s="257"/>
      <c r="AD48" s="257"/>
      <c r="AE48" s="257"/>
      <c r="AF48" s="257"/>
      <c r="AG48" s="257"/>
      <c r="AH48" s="257"/>
      <c r="AI48" s="257"/>
      <c r="AJ48" s="257"/>
      <c r="AK48" s="257"/>
      <c r="AL48" s="257"/>
      <c r="AM48" s="257"/>
      <c r="AN48" s="257"/>
      <c r="AO48" s="257"/>
      <c r="AP48" s="257"/>
      <c r="AQ48" s="257"/>
      <c r="AR48" s="257"/>
      <c r="AS48" s="257"/>
      <c r="AT48" s="258"/>
    </row>
    <row r="49" spans="1:46" s="21" customFormat="1" ht="30" hidden="1" customHeight="1" thickBot="1">
      <c r="A49" s="22" t="s">
        <v>148</v>
      </c>
      <c r="B49" s="22" t="s">
        <v>149</v>
      </c>
      <c r="C49" s="23" t="s">
        <v>216</v>
      </c>
      <c r="D49" s="23" t="s">
        <v>221</v>
      </c>
      <c r="E49" s="252"/>
      <c r="F49" s="24"/>
      <c r="G49" s="259" t="s">
        <v>43</v>
      </c>
      <c r="H49" s="260"/>
      <c r="I49" s="260"/>
      <c r="J49" s="260"/>
      <c r="K49" s="261"/>
      <c r="L49" s="25"/>
      <c r="M49" s="259" t="s">
        <v>204</v>
      </c>
      <c r="N49" s="260"/>
      <c r="O49" s="260"/>
      <c r="P49" s="260"/>
      <c r="Q49" s="261"/>
      <c r="R49" s="25"/>
      <c r="S49" s="26" t="s">
        <v>153</v>
      </c>
      <c r="T49" s="27" t="s">
        <v>154</v>
      </c>
      <c r="U49" s="27" t="s">
        <v>671</v>
      </c>
      <c r="V49" s="27" t="s">
        <v>223</v>
      </c>
      <c r="W49" s="27" t="s">
        <v>155</v>
      </c>
      <c r="X49" s="27" t="s">
        <v>156</v>
      </c>
      <c r="Y49" s="27" t="s">
        <v>197</v>
      </c>
      <c r="Z49" s="27" t="s">
        <v>198</v>
      </c>
      <c r="AA49" s="27" t="s">
        <v>199</v>
      </c>
      <c r="AB49" s="27" t="s">
        <v>200</v>
      </c>
      <c r="AC49" s="27" t="s">
        <v>201</v>
      </c>
      <c r="AD49" s="27" t="s">
        <v>202</v>
      </c>
      <c r="AE49" s="27" t="s">
        <v>224</v>
      </c>
      <c r="AF49" s="27" t="s">
        <v>672</v>
      </c>
      <c r="AG49" s="27" t="s">
        <v>673</v>
      </c>
      <c r="AH49" s="27" t="s">
        <v>227</v>
      </c>
      <c r="AI49" s="27" t="s">
        <v>674</v>
      </c>
      <c r="AJ49" s="27" t="s">
        <v>229</v>
      </c>
      <c r="AK49" s="27" t="s">
        <v>230</v>
      </c>
      <c r="AL49" s="27" t="s">
        <v>675</v>
      </c>
      <c r="AM49" s="27" t="s">
        <v>676</v>
      </c>
      <c r="AN49" s="27" t="s">
        <v>677</v>
      </c>
      <c r="AO49" s="27" t="s">
        <v>234</v>
      </c>
      <c r="AP49" s="27" t="s">
        <v>235</v>
      </c>
      <c r="AQ49" s="27" t="s">
        <v>678</v>
      </c>
      <c r="AR49" s="27" t="s">
        <v>679</v>
      </c>
      <c r="AS49" s="27" t="s">
        <v>238</v>
      </c>
      <c r="AT49" s="28" t="s">
        <v>239</v>
      </c>
    </row>
    <row r="50" spans="1:46" s="21" customFormat="1" ht="30" hidden="1" customHeight="1" thickBot="1">
      <c r="A50" s="253" t="s">
        <v>152</v>
      </c>
      <c r="B50" s="254"/>
      <c r="C50" s="254"/>
      <c r="D50" s="254"/>
      <c r="E50" s="255"/>
      <c r="F50" s="24"/>
      <c r="G50" s="29" t="s">
        <v>96</v>
      </c>
      <c r="H50" s="30" t="s">
        <v>94</v>
      </c>
      <c r="I50" s="30" t="s">
        <v>98</v>
      </c>
      <c r="J50" s="30" t="s">
        <v>99</v>
      </c>
      <c r="K50" s="31" t="s">
        <v>100</v>
      </c>
      <c r="L50" s="25"/>
      <c r="M50" s="32" t="s">
        <v>96</v>
      </c>
      <c r="N50" s="33" t="s">
        <v>94</v>
      </c>
      <c r="O50" s="33" t="s">
        <v>98</v>
      </c>
      <c r="P50" s="33" t="s">
        <v>157</v>
      </c>
      <c r="Q50" s="34" t="s">
        <v>100</v>
      </c>
      <c r="R50" s="25"/>
      <c r="S50" s="35" t="s">
        <v>680</v>
      </c>
      <c r="T50" s="36" t="s">
        <v>241</v>
      </c>
      <c r="U50" s="36">
        <v>37500</v>
      </c>
      <c r="V50" s="37">
        <v>75</v>
      </c>
      <c r="W50" s="38">
        <v>1</v>
      </c>
      <c r="X50" s="37">
        <v>8</v>
      </c>
      <c r="Y50" s="38">
        <v>0</v>
      </c>
      <c r="Z50" s="38">
        <v>0</v>
      </c>
      <c r="AA50" s="36">
        <f>5328/D86</f>
        <v>5328</v>
      </c>
      <c r="AB50" s="36">
        <v>8</v>
      </c>
      <c r="AC50" s="36">
        <v>5328</v>
      </c>
      <c r="AD50" s="36">
        <v>4608</v>
      </c>
      <c r="AE50" s="39">
        <f>IF(OR(D85=2,D86=2),IF(D53=8,198,283.5),IF(D53=8,364.5,565.5))</f>
        <v>364.5</v>
      </c>
      <c r="AF50" s="40">
        <v>110</v>
      </c>
      <c r="AG50" s="39">
        <v>26</v>
      </c>
      <c r="AH50" s="39">
        <v>2460</v>
      </c>
      <c r="AI50" s="39"/>
      <c r="AJ50" s="36" t="s">
        <v>681</v>
      </c>
      <c r="AK50" s="37">
        <v>60000</v>
      </c>
      <c r="AL50" s="39">
        <v>5328</v>
      </c>
      <c r="AM50" s="39">
        <v>4608</v>
      </c>
      <c r="AN50" s="36">
        <v>12</v>
      </c>
      <c r="AO50" s="36">
        <v>312.5</v>
      </c>
      <c r="AP50" s="36">
        <v>0</v>
      </c>
      <c r="AQ50" s="36" t="s">
        <v>682</v>
      </c>
      <c r="AR50" s="36">
        <v>0</v>
      </c>
      <c r="AS50" s="36">
        <v>20</v>
      </c>
      <c r="AT50" s="36">
        <f>IF(OR(D85=2,D86=2),IF(D53=8,430,568),IF(D53=8,730,1132))</f>
        <v>730</v>
      </c>
    </row>
    <row r="51" spans="1:46" s="21" customFormat="1" ht="30" hidden="1" customHeight="1" thickBot="1">
      <c r="A51" s="32" t="s">
        <v>96</v>
      </c>
      <c r="B51" s="33" t="s">
        <v>94</v>
      </c>
      <c r="C51" s="33" t="s">
        <v>97</v>
      </c>
      <c r="D51" s="33" t="s">
        <v>95</v>
      </c>
      <c r="E51" s="41" t="s">
        <v>100</v>
      </c>
      <c r="F51" s="24"/>
      <c r="G51" s="42" t="s">
        <v>683</v>
      </c>
      <c r="H51" s="37" t="s">
        <v>50</v>
      </c>
      <c r="I51" s="37" t="s">
        <v>684</v>
      </c>
      <c r="J51" s="226">
        <f>IF(D56="Standard",ROUNDUP(1000000*P55/P52,0),ROUNDUP(1000000*P56/75294,0))</f>
        <v>5880</v>
      </c>
      <c r="K51" s="43" t="s">
        <v>104</v>
      </c>
      <c r="L51" s="25"/>
      <c r="M51" s="44" t="s">
        <v>49</v>
      </c>
      <c r="N51" s="45" t="s">
        <v>48</v>
      </c>
      <c r="O51" s="45" t="s">
        <v>205</v>
      </c>
      <c r="P51" s="46">
        <f>VLOOKUP($C$48,$S$50:$AQ$58,4,FALSE)</f>
        <v>75.293999999999997</v>
      </c>
      <c r="Q51" s="47" t="s">
        <v>147</v>
      </c>
      <c r="R51" s="25"/>
      <c r="S51" s="48" t="s">
        <v>685</v>
      </c>
      <c r="T51" s="49" t="s">
        <v>246</v>
      </c>
      <c r="U51" s="49">
        <v>37500</v>
      </c>
      <c r="V51" s="49">
        <v>75</v>
      </c>
      <c r="W51" s="50">
        <v>1</v>
      </c>
      <c r="X51" s="50">
        <v>8</v>
      </c>
      <c r="Y51" s="50">
        <v>4</v>
      </c>
      <c r="Z51" s="50">
        <v>4</v>
      </c>
      <c r="AA51" s="49">
        <f>4504/D86</f>
        <v>4504</v>
      </c>
      <c r="AB51" s="49">
        <v>8</v>
      </c>
      <c r="AC51" s="49">
        <v>4504</v>
      </c>
      <c r="AD51" s="49">
        <v>4504</v>
      </c>
      <c r="AE51" s="51">
        <f>IF(OR(D85=2,D86=2),IF(D53=8,214.5,239.25),IF(D53=8,313.5,478.5))</f>
        <v>313.5</v>
      </c>
      <c r="AF51" s="51">
        <v>124</v>
      </c>
      <c r="AG51" s="52">
        <v>30</v>
      </c>
      <c r="AH51" s="52">
        <v>2460</v>
      </c>
      <c r="AI51" s="51"/>
      <c r="AJ51" s="49" t="s">
        <v>686</v>
      </c>
      <c r="AK51" s="53">
        <v>60000</v>
      </c>
      <c r="AL51" s="51">
        <v>4504</v>
      </c>
      <c r="AM51" s="51">
        <v>4504</v>
      </c>
      <c r="AN51" s="53">
        <v>14</v>
      </c>
      <c r="AO51" s="53">
        <v>312.5</v>
      </c>
      <c r="AP51" s="53">
        <v>0</v>
      </c>
      <c r="AQ51" s="53" t="s">
        <v>687</v>
      </c>
      <c r="AR51" s="53">
        <v>0</v>
      </c>
      <c r="AS51" s="53">
        <v>20</v>
      </c>
      <c r="AT51" s="36">
        <f>IF(OR(D85=2,D86=2),IF(D53=8,430,480),IF(D53=8,628,958))</f>
        <v>628</v>
      </c>
    </row>
    <row r="52" spans="1:46" s="21" customFormat="1" ht="181.5" hidden="1" customHeight="1" thickBot="1">
      <c r="A52" s="259" t="s">
        <v>23</v>
      </c>
      <c r="B52" s="260"/>
      <c r="C52" s="260"/>
      <c r="D52" s="260"/>
      <c r="E52" s="261"/>
      <c r="F52" s="24"/>
      <c r="G52" s="54" t="s">
        <v>207</v>
      </c>
      <c r="H52" s="55" t="s">
        <v>42</v>
      </c>
      <c r="I52" s="56" t="s">
        <v>688</v>
      </c>
      <c r="J52" s="57">
        <f>IF(D56="Ultrashort",IF(D62=1,IF(D64="HighSpeed",ROUNDUP(MAX(J55,J56,J57),0),ROUNDUP(MAX(J55,J56,J57,P96),0)),ROUNDUP(MAX(J55,J56,J57,J58),0)),IF(D62=1,IF(D64="HighSpeed",IF(D55="TriggerWidth",ROUNDUP(MAX(J55,J77,J57)*J51/1000,0),ROUNDUP(MAX(J55,J56,J57)*J51/1000,0)),IF(D55="TriggerWidth",ROUNDUP(MAX(J55,J77,J57,P96)*J51/1000,0),ROUNDUP(MAX(J55,J56,J57,P96)*J51/1000,0))),ROUNDUP(MAX(J55,J56,J57,J58)*J51/1000,0)))</f>
        <v>28701</v>
      </c>
      <c r="K52" s="54" t="s">
        <v>110</v>
      </c>
      <c r="M52" s="58" t="s">
        <v>689</v>
      </c>
      <c r="N52" s="59" t="s">
        <v>249</v>
      </c>
      <c r="O52" s="59" t="s">
        <v>250</v>
      </c>
      <c r="P52" s="60">
        <f>VLOOKUP($C$48,$S$50:$AS$58,3,FALSE)</f>
        <v>37647</v>
      </c>
      <c r="Q52" s="47" t="s">
        <v>251</v>
      </c>
      <c r="S52" s="48" t="s">
        <v>690</v>
      </c>
      <c r="T52" s="49" t="s">
        <v>253</v>
      </c>
      <c r="U52" s="226">
        <v>37647</v>
      </c>
      <c r="V52" s="226">
        <v>75.293999999999997</v>
      </c>
      <c r="W52" s="50">
        <v>1</v>
      </c>
      <c r="X52" s="50">
        <v>8</v>
      </c>
      <c r="Y52" s="50">
        <v>0</v>
      </c>
      <c r="Z52" s="50">
        <v>0</v>
      </c>
      <c r="AA52" s="49">
        <f>5328/D86</f>
        <v>5328</v>
      </c>
      <c r="AB52" s="49">
        <v>8</v>
      </c>
      <c r="AC52" s="49">
        <v>5328</v>
      </c>
      <c r="AD52" s="49">
        <v>3040</v>
      </c>
      <c r="AE52" s="227">
        <f>IF(OR(D85=2,D86=2),IF(D53=8,215.3,IF(D53="rgb888",623.4,415.6)),IF(D53=8,415.6,IF(D53="rgb888",1245.4,829.7)))</f>
        <v>415.6</v>
      </c>
      <c r="AF52" s="51">
        <v>110</v>
      </c>
      <c r="AG52" s="52">
        <v>26</v>
      </c>
      <c r="AH52" s="39">
        <v>2460</v>
      </c>
      <c r="AI52" s="51"/>
      <c r="AJ52" s="36" t="s">
        <v>158</v>
      </c>
      <c r="AK52" s="37">
        <v>50000</v>
      </c>
      <c r="AL52" s="51">
        <v>5328</v>
      </c>
      <c r="AM52" s="51">
        <v>3040</v>
      </c>
      <c r="AN52" s="53">
        <v>18</v>
      </c>
      <c r="AO52" s="36">
        <v>312.5</v>
      </c>
      <c r="AP52" s="36">
        <v>0</v>
      </c>
      <c r="AQ52" s="36" t="s">
        <v>216</v>
      </c>
      <c r="AR52" s="36">
        <v>0</v>
      </c>
      <c r="AS52" s="36">
        <v>20</v>
      </c>
      <c r="AT52" s="226">
        <f>IF(OR(D85=2,D86=2),IF(D53=8,428,IF(D53="rgb888",1244,828)),IF(D53=8,828,IF(D53="rgb888",2488,1656)))</f>
        <v>828</v>
      </c>
    </row>
    <row r="53" spans="1:46" s="21" customFormat="1" ht="30" hidden="1" customHeight="1" thickBot="1">
      <c r="A53" s="61" t="s">
        <v>206</v>
      </c>
      <c r="B53" s="62" t="s">
        <v>23</v>
      </c>
      <c r="C53" s="62">
        <v>8</v>
      </c>
      <c r="D53" s="63">
        <f>C12</f>
        <v>8</v>
      </c>
      <c r="E53" s="64" t="s">
        <v>142</v>
      </c>
      <c r="F53" s="24"/>
      <c r="G53" s="65" t="s">
        <v>208</v>
      </c>
      <c r="H53" s="66" t="s">
        <v>43</v>
      </c>
      <c r="I53" s="67" t="s">
        <v>209</v>
      </c>
      <c r="J53" s="68">
        <f>1000000/J52</f>
        <v>34.841991568238043</v>
      </c>
      <c r="K53" s="65" t="s">
        <v>113</v>
      </c>
      <c r="M53" s="58" t="s">
        <v>254</v>
      </c>
      <c r="N53" s="69" t="s">
        <v>255</v>
      </c>
      <c r="O53" s="69" t="s">
        <v>691</v>
      </c>
      <c r="P53" s="70">
        <f>VLOOKUP($C$48,$S$50:$AS$58,7,FALSE)</f>
        <v>8</v>
      </c>
      <c r="Q53" s="71" t="s">
        <v>159</v>
      </c>
      <c r="S53" s="72" t="s">
        <v>692</v>
      </c>
      <c r="T53" s="73" t="s">
        <v>693</v>
      </c>
      <c r="U53" s="228">
        <v>37647</v>
      </c>
      <c r="V53" s="228">
        <v>75.293999999999997</v>
      </c>
      <c r="W53" s="74">
        <v>1</v>
      </c>
      <c r="X53" s="74">
        <v>8</v>
      </c>
      <c r="Y53" s="74">
        <v>16</v>
      </c>
      <c r="Z53" s="74">
        <v>4</v>
      </c>
      <c r="AA53" s="229">
        <f>4096/D86/D92</f>
        <v>4096</v>
      </c>
      <c r="AB53" s="73">
        <v>8</v>
      </c>
      <c r="AC53" s="73">
        <v>4096</v>
      </c>
      <c r="AD53" s="73">
        <v>3000</v>
      </c>
      <c r="AE53" s="230">
        <f>IF(OR(D85=2,D86=2),IF(D53=8,209.31732,IF(OR(D53="RGB8",D53="BGR8"),478.86984,319.24656)),IF(AND(D91=1,D92=1),IF(D53=8,319.24656,IF(OR(D53="RGB8",D53="BGR8"),957.73968,638.49312)),IF(D53=8,159.62328,319.24656)))</f>
        <v>319.24655999999999</v>
      </c>
      <c r="AF53" s="75">
        <v>128</v>
      </c>
      <c r="AG53" s="75">
        <v>62</v>
      </c>
      <c r="AH53" s="75">
        <v>2470</v>
      </c>
      <c r="AI53" s="75"/>
      <c r="AJ53" s="36" t="s">
        <v>158</v>
      </c>
      <c r="AK53" s="73">
        <v>40000</v>
      </c>
      <c r="AL53" s="75">
        <v>4096</v>
      </c>
      <c r="AM53" s="75">
        <v>3000</v>
      </c>
      <c r="AN53" s="73">
        <v>23</v>
      </c>
      <c r="AO53" s="73">
        <v>312.5</v>
      </c>
      <c r="AP53" s="73">
        <v>0</v>
      </c>
      <c r="AQ53" s="36" t="s">
        <v>216</v>
      </c>
      <c r="AR53" s="73">
        <v>0</v>
      </c>
      <c r="AS53" s="73">
        <v>20</v>
      </c>
      <c r="AT53" s="231">
        <f>IF(OR(D85=2,D86=2),IF(D53=8,416,IF(OR(D53="RGB8",D53="BGR8"),954,636)),IF(AND(D91=1,D92=1),IF(D53=8,636,IF(OR(D53="RGB8",D53="BGR8"),1912,1274)),IF(D53=8,316,636)))</f>
        <v>636</v>
      </c>
    </row>
    <row r="54" spans="1:46" s="21" customFormat="1" ht="30" hidden="1" customHeight="1" thickBot="1">
      <c r="A54" s="259" t="s">
        <v>19</v>
      </c>
      <c r="B54" s="260"/>
      <c r="C54" s="260"/>
      <c r="D54" s="260"/>
      <c r="E54" s="261"/>
      <c r="F54" s="24"/>
      <c r="G54" s="259" t="s">
        <v>121</v>
      </c>
      <c r="H54" s="260"/>
      <c r="I54" s="260"/>
      <c r="J54" s="260"/>
      <c r="K54" s="261"/>
      <c r="M54" s="58" t="s">
        <v>259</v>
      </c>
      <c r="N54" s="69" t="s">
        <v>694</v>
      </c>
      <c r="O54" s="69" t="s">
        <v>695</v>
      </c>
      <c r="P54" s="70">
        <f>VLOOKUP($C$48,$S$50:$AS$58,8,FALSE)</f>
        <v>4</v>
      </c>
      <c r="Q54" s="76" t="s">
        <v>696</v>
      </c>
      <c r="S54" s="72" t="s">
        <v>261</v>
      </c>
      <c r="T54" s="73" t="s">
        <v>262</v>
      </c>
      <c r="U54" s="228">
        <v>37647</v>
      </c>
      <c r="V54" s="228">
        <v>75.293999999999997</v>
      </c>
      <c r="W54" s="74">
        <v>1</v>
      </c>
      <c r="X54" s="74">
        <v>8</v>
      </c>
      <c r="Y54" s="74">
        <v>12</v>
      </c>
      <c r="Z54" s="74">
        <v>8</v>
      </c>
      <c r="AA54" s="229">
        <f>2448/D86/D92</f>
        <v>2448</v>
      </c>
      <c r="AB54" s="73">
        <v>8</v>
      </c>
      <c r="AC54" s="73">
        <v>2448</v>
      </c>
      <c r="AD54" s="73">
        <v>2048</v>
      </c>
      <c r="AE54" s="230">
        <f>IF(OR(D85=2,D86=2),IF(D53=10,191.24676,IF(D53="rgb888",286.1172,209.31732)),IF(AND(D91=1,D92=1),IF(D53=8,209.31732,IF(D53="rgb888",572.2344,382.49352)),IF(D53=8,108.42336,191.24676)))</f>
        <v>209.31732</v>
      </c>
      <c r="AF54" s="75">
        <v>168</v>
      </c>
      <c r="AG54" s="75">
        <v>86</v>
      </c>
      <c r="AH54" s="75">
        <v>2470</v>
      </c>
      <c r="AI54" s="75"/>
      <c r="AJ54" s="36" t="s">
        <v>158</v>
      </c>
      <c r="AK54" s="73">
        <v>10000</v>
      </c>
      <c r="AL54" s="75">
        <v>2448</v>
      </c>
      <c r="AM54" s="75">
        <v>2048</v>
      </c>
      <c r="AN54" s="73">
        <v>56</v>
      </c>
      <c r="AO54" s="73">
        <v>312.5</v>
      </c>
      <c r="AP54" s="73">
        <v>0</v>
      </c>
      <c r="AQ54" s="36" t="s">
        <v>216</v>
      </c>
      <c r="AR54" s="73">
        <v>0</v>
      </c>
      <c r="AS54" s="73">
        <v>20</v>
      </c>
      <c r="AT54" s="231">
        <f>IF(OR(D85=2,D86=2),IF(D53=10,380,IF(D53="rgb888",570,416)),IF(AND(D91=1,D92=1),IF(D53=8,416,IF(D53="rgb888",1142,762)),IF(D53=8,214,380)))</f>
        <v>416</v>
      </c>
    </row>
    <row r="55" spans="1:46" s="21" customFormat="1" ht="30" hidden="1" customHeight="1" thickBot="1">
      <c r="A55" s="44" t="s">
        <v>697</v>
      </c>
      <c r="B55" s="45" t="s">
        <v>264</v>
      </c>
      <c r="C55" s="45" t="s">
        <v>160</v>
      </c>
      <c r="D55" s="77" t="s">
        <v>160</v>
      </c>
      <c r="E55" s="78"/>
      <c r="F55" s="24"/>
      <c r="G55" s="43" t="s">
        <v>124</v>
      </c>
      <c r="H55" s="79" t="s">
        <v>125</v>
      </c>
      <c r="I55" s="80" t="s">
        <v>265</v>
      </c>
      <c r="J55" s="201">
        <f>IF(D56="Ultrashort",ROUNDUP((D71+P57)*J51/1000,0)+10,D71+P57)</f>
        <v>3000</v>
      </c>
      <c r="K55" s="82" t="str">
        <f>IF(D56="Ultrashort","us","line")</f>
        <v>line</v>
      </c>
      <c r="M55" s="58" t="s">
        <v>266</v>
      </c>
      <c r="N55" s="69" t="s">
        <v>267</v>
      </c>
      <c r="O55" s="69" t="s">
        <v>691</v>
      </c>
      <c r="P55" s="70">
        <f>VLOOKUP($C$48,$S$50:$AS$58,13,FALSE)</f>
        <v>221.36436</v>
      </c>
      <c r="Q55" s="76" t="s">
        <v>268</v>
      </c>
      <c r="S55" s="232" t="s">
        <v>269</v>
      </c>
      <c r="T55" s="233" t="s">
        <v>698</v>
      </c>
      <c r="U55" s="234">
        <v>37647</v>
      </c>
      <c r="V55" s="234">
        <v>75.293999999999997</v>
      </c>
      <c r="W55" s="235">
        <v>1</v>
      </c>
      <c r="X55" s="235">
        <v>8</v>
      </c>
      <c r="Y55" s="235">
        <v>8</v>
      </c>
      <c r="Z55" s="235">
        <v>4</v>
      </c>
      <c r="AA55" s="236">
        <f>2840/D86/D92</f>
        <v>2840</v>
      </c>
      <c r="AB55" s="233">
        <v>8</v>
      </c>
      <c r="AC55" s="233">
        <v>2840</v>
      </c>
      <c r="AD55" s="233">
        <v>2840</v>
      </c>
      <c r="AE55" s="237">
        <f>IF(OR(D85=2,D86=2),IF(D53=8,209.31732,IF(OR(D53="RGB8",D53="BGR8"),332.79948,221.36436)),IF(AND(D91=1,D92=1),IF(D53=8,221.36436,IF(OR(D53="RGB8",D53="BGR8"),664.09308,442.72872)),IF(D53=8,120.4704,221.36436)))</f>
        <v>221.36436</v>
      </c>
      <c r="AF55" s="238">
        <v>160</v>
      </c>
      <c r="AG55" s="238">
        <v>82</v>
      </c>
      <c r="AH55" s="238">
        <v>2470</v>
      </c>
      <c r="AI55" s="238"/>
      <c r="AJ55" s="153" t="s">
        <v>158</v>
      </c>
      <c r="AK55" s="233">
        <v>20000</v>
      </c>
      <c r="AL55" s="238">
        <f>IF(OR(D85=2,D91=2),1416,2840)</f>
        <v>2840</v>
      </c>
      <c r="AM55" s="238">
        <f>IF(OR(D86=2,D92=2),1416,2840)</f>
        <v>2840</v>
      </c>
      <c r="AN55" s="233">
        <v>35</v>
      </c>
      <c r="AO55" s="233">
        <v>312.5</v>
      </c>
      <c r="AP55" s="233">
        <v>0</v>
      </c>
      <c r="AQ55" s="153" t="s">
        <v>216</v>
      </c>
      <c r="AR55" s="233">
        <v>0</v>
      </c>
      <c r="AS55" s="233">
        <v>20</v>
      </c>
      <c r="AT55" s="239">
        <f>IF(OR(D85=2,D86=2),IF(D53=8,416,IF(OR(D53="RGB8",D53="BGR8"),662,440)),IF(AND(D91=1,D92=1),IF(D53=8,440,IF(OR(D53="RGB8",D53="BGR8"),1326,882)),IF(D53=8,238,440)))</f>
        <v>440</v>
      </c>
    </row>
    <row r="56" spans="1:46" s="21" customFormat="1" ht="84" hidden="1" customHeight="1" thickBot="1">
      <c r="A56" s="44" t="s">
        <v>699</v>
      </c>
      <c r="B56" s="45" t="s">
        <v>700</v>
      </c>
      <c r="C56" s="45" t="s">
        <v>273</v>
      </c>
      <c r="D56" s="77" t="s">
        <v>161</v>
      </c>
      <c r="E56" s="78"/>
      <c r="F56" s="24"/>
      <c r="G56" s="54" t="s">
        <v>128</v>
      </c>
      <c r="H56" s="55" t="s">
        <v>129</v>
      </c>
      <c r="I56" s="53" t="s">
        <v>274</v>
      </c>
      <c r="J56" s="83">
        <f>IF(D56="Ultrashort",J81,J83+IF(D75=0,0,ROUNDUP(P62*1000/J51,0)))</f>
        <v>3483</v>
      </c>
      <c r="K56" s="82" t="str">
        <f>IF(D56="Ultrashort","us","line")</f>
        <v>line</v>
      </c>
      <c r="M56" s="58" t="s">
        <v>275</v>
      </c>
      <c r="N56" s="69" t="s">
        <v>701</v>
      </c>
      <c r="O56" s="69" t="s">
        <v>256</v>
      </c>
      <c r="P56" s="70">
        <f>VLOOKUP($C$48,$S$50:$AT$58,28,FALSE)</f>
        <v>440</v>
      </c>
      <c r="Q56" s="76" t="s">
        <v>268</v>
      </c>
      <c r="S56" s="240" t="s">
        <v>486</v>
      </c>
      <c r="T56" s="240" t="s">
        <v>487</v>
      </c>
      <c r="U56" s="240">
        <v>37647</v>
      </c>
      <c r="V56" s="240">
        <v>75.293999999999997</v>
      </c>
      <c r="W56" s="240">
        <v>1</v>
      </c>
      <c r="X56" s="240">
        <v>8</v>
      </c>
      <c r="Y56" s="240">
        <v>0</v>
      </c>
      <c r="Z56" s="240">
        <v>0</v>
      </c>
      <c r="AA56" s="240">
        <f>IF(OR(D85=2,D86=2,D91=2,D92=2),1424,2856)</f>
        <v>2856</v>
      </c>
      <c r="AB56" s="240">
        <v>16</v>
      </c>
      <c r="AC56" s="240">
        <f>IF(OR(D85=2,D86=2,D91=2,D92=2),1424,2856)</f>
        <v>2856</v>
      </c>
      <c r="AD56" s="240">
        <f>IF(OR(D85=2,D86=2,D91=2,D92=2),1424,2848)</f>
        <v>2848</v>
      </c>
      <c r="AE56" s="240">
        <f>IF(OR(D85=2,D86=2),IF(D53=8,120.4707,222.1173),IF(AND(D91=1,D92=1),IF(D53=8,222.87024,444.98754),IF(D53=8,120.4704,222.87024)))</f>
        <v>222.87024</v>
      </c>
      <c r="AF56" s="240">
        <v>184</v>
      </c>
      <c r="AG56" s="240">
        <v>90</v>
      </c>
      <c r="AH56" s="240">
        <v>2470</v>
      </c>
      <c r="AI56" s="240"/>
      <c r="AJ56" s="240" t="s">
        <v>681</v>
      </c>
      <c r="AK56" s="240">
        <v>20000</v>
      </c>
      <c r="AL56" s="240">
        <f>IF(OR(D85=2,D86=2,D88=2,D91=2,D92=2),1424,2856)</f>
        <v>2856</v>
      </c>
      <c r="AM56" s="240">
        <f>IF(OR(D85=2,D86=2,D89=2,D91=2,D92=2),1424,2848)</f>
        <v>2848</v>
      </c>
      <c r="AN56" s="240">
        <v>35</v>
      </c>
      <c r="AO56" s="240">
        <v>312.5</v>
      </c>
      <c r="AP56" s="240">
        <v>0</v>
      </c>
      <c r="AQ56" s="240" t="s">
        <v>243</v>
      </c>
      <c r="AR56" s="240">
        <v>0</v>
      </c>
      <c r="AS56" s="240">
        <v>20</v>
      </c>
      <c r="AT56" s="240">
        <f>IF(OR(D85=2,D86=2),IF(D53=8,242,446),IF(AND(D91=1,D92=1),IF(D53=8,446,890),IF(D53=8,242,446)))</f>
        <v>446</v>
      </c>
    </row>
    <row r="57" spans="1:46" s="21" customFormat="1" ht="112.5" hidden="1" customHeight="1">
      <c r="A57" s="44" t="s">
        <v>277</v>
      </c>
      <c r="B57" s="45" t="s">
        <v>702</v>
      </c>
      <c r="C57" s="45">
        <f>VLOOKUP($C$48,$S$50:$AQ$58,19,FALSE)</f>
        <v>20000</v>
      </c>
      <c r="D57" s="85">
        <f>C10</f>
        <v>20000</v>
      </c>
      <c r="E57" s="78" t="s">
        <v>110</v>
      </c>
      <c r="F57" s="24"/>
      <c r="G57" s="58" t="s">
        <v>132</v>
      </c>
      <c r="H57" s="69" t="s">
        <v>133</v>
      </c>
      <c r="I57" s="49" t="s">
        <v>279</v>
      </c>
      <c r="J57" s="83">
        <f>IF(D56="Ultrashort",ROUNDUP(((1000000/D83))*D82,0),ROUNDUP(((1000000000/D83)/J51)*D82,0))</f>
        <v>0</v>
      </c>
      <c r="K57" s="82" t="str">
        <f>IF(D56="Ultrashort","us","line")</f>
        <v>line</v>
      </c>
      <c r="M57" s="58" t="s">
        <v>703</v>
      </c>
      <c r="N57" s="69" t="s">
        <v>704</v>
      </c>
      <c r="O57" s="69" t="s">
        <v>256</v>
      </c>
      <c r="P57" s="70">
        <f>VLOOKUP($C$48,$S$50:$AS$58,14,FALSE)</f>
        <v>160</v>
      </c>
      <c r="Q57" s="71" t="s">
        <v>107</v>
      </c>
      <c r="S57" s="84"/>
      <c r="T57" s="84"/>
      <c r="U57" s="84"/>
      <c r="V57" s="84"/>
      <c r="W57" s="84"/>
      <c r="X57" s="84"/>
      <c r="Y57" s="86"/>
      <c r="Z57" s="84"/>
    </row>
    <row r="58" spans="1:46" s="21" customFormat="1" ht="60" hidden="1" customHeight="1" thickBot="1">
      <c r="A58" s="87" t="s">
        <v>178</v>
      </c>
      <c r="B58" s="59" t="s">
        <v>21</v>
      </c>
      <c r="C58" s="45">
        <v>0</v>
      </c>
      <c r="D58" s="88">
        <f>C11</f>
        <v>0</v>
      </c>
      <c r="E58" s="89" t="s">
        <v>110</v>
      </c>
      <c r="F58" s="24"/>
      <c r="G58" s="87" t="s">
        <v>134</v>
      </c>
      <c r="H58" s="90" t="s">
        <v>90</v>
      </c>
      <c r="I58" s="1" t="s">
        <v>705</v>
      </c>
      <c r="J58" s="91">
        <f>IF(D56="Ultrashort",IF(D62=0,P94,IF(D64="Standard",P96,0)),IF(D62=0,ROUNDUP(P94*1000/J51,0),IF(D64="Standard",ROUNDUP(P96,0),0)))</f>
        <v>4881</v>
      </c>
      <c r="K58" s="82" t="str">
        <f>IF(D56="Ultrashort","us","line")</f>
        <v>line</v>
      </c>
      <c r="M58" s="58" t="s">
        <v>706</v>
      </c>
      <c r="N58" s="69" t="s">
        <v>707</v>
      </c>
      <c r="O58" s="69" t="s">
        <v>691</v>
      </c>
      <c r="P58" s="70">
        <f>VLOOKUP($C$48,$S$50:$AS$58,15,FALSE)</f>
        <v>82</v>
      </c>
      <c r="Q58" s="71" t="s">
        <v>107</v>
      </c>
      <c r="S58" s="84"/>
      <c r="T58" s="84"/>
      <c r="U58" s="84"/>
      <c r="V58" s="84"/>
      <c r="W58" s="84"/>
      <c r="X58" s="84"/>
      <c r="Y58" s="86"/>
      <c r="Z58" s="84"/>
    </row>
    <row r="59" spans="1:46" s="21" customFormat="1" ht="87.75" hidden="1" customHeight="1" thickBot="1">
      <c r="A59" s="92" t="s">
        <v>285</v>
      </c>
      <c r="B59" s="93" t="str">
        <f>"交叠曝光时间 
范围:0"&amp;"-"&amp;ROUNDUP(((J55-P58)*J51/1000),0)</f>
        <v>交叠曝光时间 
范围:0-17158</v>
      </c>
      <c r="C59" s="79">
        <f>ROUNDUP((J55-P58)*J51/1000,0)</f>
        <v>17158</v>
      </c>
      <c r="D59" s="94">
        <v>26000</v>
      </c>
      <c r="E59" s="89" t="s">
        <v>708</v>
      </c>
      <c r="F59" s="24"/>
      <c r="G59" s="259" t="s">
        <v>162</v>
      </c>
      <c r="H59" s="260"/>
      <c r="I59" s="260"/>
      <c r="J59" s="260"/>
      <c r="K59" s="261"/>
      <c r="M59" s="58" t="s">
        <v>287</v>
      </c>
      <c r="N59" s="69" t="s">
        <v>288</v>
      </c>
      <c r="O59" s="69" t="s">
        <v>205</v>
      </c>
      <c r="P59" s="70">
        <f>VLOOKUP($C$48,$S$50:$AS$58,16,FALSE)</f>
        <v>2470</v>
      </c>
      <c r="Q59" s="95" t="s">
        <v>289</v>
      </c>
      <c r="S59" s="84"/>
      <c r="T59" s="96"/>
      <c r="U59" s="84"/>
      <c r="V59" s="84"/>
      <c r="W59" s="84"/>
      <c r="X59" s="84"/>
      <c r="Y59" s="86"/>
      <c r="Z59" s="84"/>
    </row>
    <row r="60" spans="1:46" s="21" customFormat="1" ht="87.75" hidden="1" customHeight="1" thickBot="1">
      <c r="A60" s="97" t="s">
        <v>290</v>
      </c>
      <c r="B60" s="98" t="s">
        <v>709</v>
      </c>
      <c r="C60" s="90" t="s">
        <v>292</v>
      </c>
      <c r="D60" s="99">
        <v>0</v>
      </c>
      <c r="E60" s="89" t="s">
        <v>286</v>
      </c>
      <c r="F60" s="24"/>
      <c r="G60" s="100" t="s">
        <v>293</v>
      </c>
      <c r="H60" s="101" t="s">
        <v>294</v>
      </c>
      <c r="I60" s="101" t="s">
        <v>710</v>
      </c>
      <c r="J60" s="81">
        <f>IF(D56="Ultrashort",IF(D57&gt;P59/1000,ROUNDUP((D57*1000-P59)/1000,0),1),MAX(ROUNDUP((D57*1000-P59)/J51,0),1))</f>
        <v>3401</v>
      </c>
      <c r="K60" s="82" t="str">
        <f>IF(D56="Ultrashort","us","line")</f>
        <v>line</v>
      </c>
      <c r="M60" s="58" t="s">
        <v>296</v>
      </c>
      <c r="N60" s="69" t="s">
        <v>297</v>
      </c>
      <c r="O60" s="69" t="s">
        <v>205</v>
      </c>
      <c r="P60" s="70">
        <f>VLOOKUP($C$48,$S$50:$AS$58,27,FALSE)</f>
        <v>20</v>
      </c>
      <c r="Q60" s="71" t="s">
        <v>286</v>
      </c>
      <c r="S60" s="84"/>
      <c r="T60" s="84"/>
      <c r="U60" s="84"/>
      <c r="V60" s="84"/>
      <c r="W60" s="84"/>
      <c r="X60" s="84"/>
      <c r="Y60" s="86"/>
      <c r="Z60" s="84"/>
    </row>
    <row r="61" spans="1:46" s="21" customFormat="1" ht="87.75" hidden="1" customHeight="1">
      <c r="A61" s="265" t="s">
        <v>711</v>
      </c>
      <c r="B61" s="266"/>
      <c r="C61" s="266"/>
      <c r="D61" s="266"/>
      <c r="E61" s="267"/>
      <c r="F61" s="24"/>
      <c r="G61" s="100" t="s">
        <v>299</v>
      </c>
      <c r="H61" s="101" t="s">
        <v>300</v>
      </c>
      <c r="I61" s="101" t="s">
        <v>301</v>
      </c>
      <c r="J61" s="203">
        <f>IF(AND(D57&gt;P59/1000,D57&lt;=P60,AND(D85=1,D86=1),AND(D91=1,D92=1)),ROUNDUP((1000*D57-P59)/1000,0),0)</f>
        <v>0</v>
      </c>
      <c r="K61" s="102" t="s">
        <v>708</v>
      </c>
      <c r="M61" s="58" t="s">
        <v>302</v>
      </c>
      <c r="N61" s="69"/>
      <c r="O61" s="69" t="s">
        <v>205</v>
      </c>
      <c r="P61" s="70">
        <f>VLOOKUP($C$48,$S$50:$AS$58,17,FALSE)</f>
        <v>0</v>
      </c>
      <c r="Q61" s="71"/>
      <c r="S61" s="84"/>
      <c r="T61" s="84"/>
      <c r="U61" s="84"/>
      <c r="V61" s="84"/>
      <c r="W61" s="84"/>
      <c r="X61" s="84"/>
      <c r="Y61" s="86"/>
      <c r="Z61" s="84"/>
    </row>
    <row r="62" spans="1:46" s="21" customFormat="1" ht="109.5" hidden="1" customHeight="1">
      <c r="A62" s="69" t="s">
        <v>712</v>
      </c>
      <c r="B62" s="69" t="s">
        <v>298</v>
      </c>
      <c r="C62" s="69">
        <v>0</v>
      </c>
      <c r="D62" s="103">
        <f>C21</f>
        <v>0</v>
      </c>
      <c r="E62" s="104"/>
      <c r="F62" s="24"/>
      <c r="G62" s="105" t="s">
        <v>304</v>
      </c>
      <c r="H62" s="106" t="s">
        <v>305</v>
      </c>
      <c r="I62" s="106" t="s">
        <v>306</v>
      </c>
      <c r="J62" s="57">
        <f>IF(D56="Ultrashort",D58,ROUNDUP((D58*1000)/J51,0))</f>
        <v>0</v>
      </c>
      <c r="K62" s="82" t="str">
        <f>IF(D56="Ultrashort","us","line")</f>
        <v>line</v>
      </c>
      <c r="M62" s="58" t="s">
        <v>307</v>
      </c>
      <c r="N62" s="69" t="s">
        <v>308</v>
      </c>
      <c r="O62" s="69" t="s">
        <v>205</v>
      </c>
      <c r="P62" s="70">
        <f>VLOOKUP($C$48,$S$50:$AS$58,26,FALSE)</f>
        <v>0</v>
      </c>
      <c r="Q62" s="71" t="s">
        <v>110</v>
      </c>
      <c r="S62" s="84"/>
      <c r="T62" s="84"/>
      <c r="U62" s="84"/>
      <c r="V62" s="84"/>
      <c r="W62" s="84"/>
      <c r="X62" s="84"/>
      <c r="Y62" s="86"/>
      <c r="Z62" s="84"/>
    </row>
    <row r="63" spans="1:46" s="21" customFormat="1" ht="111" hidden="1" customHeight="1" thickBot="1">
      <c r="A63" s="61" t="s">
        <v>713</v>
      </c>
      <c r="B63" s="62" t="s">
        <v>309</v>
      </c>
      <c r="C63" s="62">
        <v>0</v>
      </c>
      <c r="D63" s="107">
        <v>0</v>
      </c>
      <c r="E63" s="64"/>
      <c r="F63" s="24"/>
      <c r="G63" s="105" t="s">
        <v>714</v>
      </c>
      <c r="H63" s="106" t="s">
        <v>715</v>
      </c>
      <c r="I63" s="101" t="s">
        <v>716</v>
      </c>
      <c r="J63" s="108">
        <f>IF(D56="Ultrashort",200,IF((D57+4*J51/1000)&gt;100,(D57+4*J51/1000),100))</f>
        <v>20023.52</v>
      </c>
      <c r="K63" s="4" t="s">
        <v>286</v>
      </c>
      <c r="M63" s="109" t="s">
        <v>312</v>
      </c>
      <c r="N63" s="110" t="s">
        <v>313</v>
      </c>
      <c r="O63" s="110" t="s">
        <v>205</v>
      </c>
      <c r="P63" s="111">
        <f>VLOOKUP($C$48,$S$50:$AS$58,24,FALSE)</f>
        <v>0</v>
      </c>
      <c r="Q63" s="47" t="s">
        <v>107</v>
      </c>
      <c r="S63" s="84"/>
      <c r="T63" s="84"/>
      <c r="U63" s="84"/>
      <c r="V63" s="84"/>
      <c r="W63" s="84"/>
      <c r="X63" s="84"/>
      <c r="Y63" s="86"/>
      <c r="Z63" s="84"/>
    </row>
    <row r="64" spans="1:46" s="21" customFormat="1" ht="111" hidden="1" customHeight="1" thickBot="1">
      <c r="A64" s="69" t="s">
        <v>314</v>
      </c>
      <c r="B64" s="69" t="s">
        <v>163</v>
      </c>
      <c r="C64" s="112" t="s">
        <v>717</v>
      </c>
      <c r="D64" s="103" t="s">
        <v>161</v>
      </c>
      <c r="E64" s="113"/>
      <c r="F64" s="24"/>
      <c r="G64" s="114" t="s">
        <v>718</v>
      </c>
      <c r="H64" s="106" t="s">
        <v>316</v>
      </c>
      <c r="I64" s="106" t="s">
        <v>317</v>
      </c>
      <c r="J64" s="241">
        <f>IF(D56="Ultrashort",ROUNDUP((D71+11+P61)*J51/1000,0),D71+11+P61)</f>
        <v>2851</v>
      </c>
      <c r="K64" s="82" t="str">
        <f>IF(D56="Ultrashort","us","line")</f>
        <v>line</v>
      </c>
      <c r="M64" s="262" t="s">
        <v>177</v>
      </c>
      <c r="N64" s="263"/>
      <c r="O64" s="263"/>
      <c r="P64" s="263"/>
      <c r="Q64" s="268"/>
      <c r="S64" s="84"/>
      <c r="T64" s="84"/>
      <c r="U64" s="84"/>
      <c r="V64" s="84"/>
      <c r="W64" s="84"/>
      <c r="X64" s="84"/>
      <c r="Y64" s="115"/>
      <c r="Z64" s="115"/>
    </row>
    <row r="65" spans="1:26" s="21" customFormat="1" ht="60.75" hidden="1" customHeight="1" thickBot="1">
      <c r="A65" s="248" t="s">
        <v>164</v>
      </c>
      <c r="B65" s="249"/>
      <c r="C65" s="249"/>
      <c r="D65" s="249"/>
      <c r="E65" s="268"/>
      <c r="F65" s="24"/>
      <c r="G65" s="262" t="s">
        <v>73</v>
      </c>
      <c r="H65" s="263"/>
      <c r="I65" s="263"/>
      <c r="J65" s="263"/>
      <c r="K65" s="268"/>
      <c r="M65" s="32" t="s">
        <v>96</v>
      </c>
      <c r="N65" s="33" t="s">
        <v>94</v>
      </c>
      <c r="O65" s="33" t="s">
        <v>98</v>
      </c>
      <c r="P65" s="33" t="s">
        <v>157</v>
      </c>
      <c r="Q65" s="34" t="s">
        <v>100</v>
      </c>
      <c r="S65" s="84"/>
      <c r="T65" s="116"/>
      <c r="U65" s="116"/>
      <c r="V65" s="116"/>
      <c r="W65" s="116"/>
      <c r="X65" s="116"/>
      <c r="Y65" s="117"/>
      <c r="Z65" s="117"/>
    </row>
    <row r="66" spans="1:26" s="21" customFormat="1" ht="30" hidden="1" customHeight="1" thickBot="1">
      <c r="A66" s="61" t="s">
        <v>210</v>
      </c>
      <c r="B66" s="62" t="s">
        <v>119</v>
      </c>
      <c r="C66" s="62">
        <v>0</v>
      </c>
      <c r="D66" s="63">
        <v>0</v>
      </c>
      <c r="E66" s="64" t="s">
        <v>110</v>
      </c>
      <c r="F66" s="24"/>
      <c r="G66" s="118" t="s">
        <v>84</v>
      </c>
      <c r="H66" s="119" t="s">
        <v>166</v>
      </c>
      <c r="I66" s="119" t="s">
        <v>167</v>
      </c>
      <c r="J66" s="120">
        <f>J53*P83</f>
        <v>281021567.19278079</v>
      </c>
      <c r="K66" s="121" t="s">
        <v>168</v>
      </c>
      <c r="M66" s="44" t="s">
        <v>74</v>
      </c>
      <c r="N66" s="45" t="s">
        <v>101</v>
      </c>
      <c r="O66" s="45" t="s">
        <v>102</v>
      </c>
      <c r="P66" s="46">
        <v>7</v>
      </c>
      <c r="Q66" s="47" t="s">
        <v>103</v>
      </c>
      <c r="S66" s="84"/>
      <c r="T66" s="116"/>
      <c r="U66" s="116"/>
      <c r="V66" s="116"/>
      <c r="W66" s="116"/>
      <c r="X66" s="116"/>
      <c r="Y66" s="117"/>
      <c r="Z66" s="117"/>
    </row>
    <row r="67" spans="1:26" s="21" customFormat="1" ht="30" hidden="1" customHeight="1" thickBot="1">
      <c r="A67" s="262" t="s">
        <v>165</v>
      </c>
      <c r="B67" s="263"/>
      <c r="C67" s="263"/>
      <c r="D67" s="263"/>
      <c r="E67" s="224"/>
      <c r="F67" s="24"/>
      <c r="G67" s="122" t="s">
        <v>85</v>
      </c>
      <c r="H67" s="123" t="s">
        <v>169</v>
      </c>
      <c r="I67" s="92" t="s">
        <v>170</v>
      </c>
      <c r="J67" s="57">
        <f>J53*P90</f>
        <v>292924288.35232222</v>
      </c>
      <c r="K67" s="124" t="s">
        <v>168</v>
      </c>
      <c r="M67" s="58" t="s">
        <v>75</v>
      </c>
      <c r="N67" s="69" t="s">
        <v>105</v>
      </c>
      <c r="O67" s="69" t="s">
        <v>106</v>
      </c>
      <c r="P67" s="70">
        <v>1</v>
      </c>
      <c r="Q67" s="71" t="s">
        <v>103</v>
      </c>
    </row>
    <row r="68" spans="1:26" s="21" customFormat="1" ht="30" hidden="1" customHeight="1" thickBot="1">
      <c r="A68" s="44" t="s">
        <v>318</v>
      </c>
      <c r="B68" s="45" t="s">
        <v>319</v>
      </c>
      <c r="C68" s="45">
        <v>0</v>
      </c>
      <c r="D68" s="85">
        <v>0</v>
      </c>
      <c r="E68" s="125" t="s">
        <v>159</v>
      </c>
      <c r="F68" s="24"/>
      <c r="G68" s="126" t="s">
        <v>86</v>
      </c>
      <c r="H68" s="127" t="s">
        <v>171</v>
      </c>
      <c r="I68" s="67" t="s">
        <v>172</v>
      </c>
      <c r="J68" s="108">
        <f>1250*D77*(100-D80)</f>
        <v>296875000</v>
      </c>
      <c r="K68" s="128" t="s">
        <v>168</v>
      </c>
      <c r="M68" s="58" t="s">
        <v>76</v>
      </c>
      <c r="N68" s="69" t="s">
        <v>108</v>
      </c>
      <c r="O68" s="69" t="s">
        <v>109</v>
      </c>
      <c r="P68" s="70">
        <v>14</v>
      </c>
      <c r="Q68" s="71" t="s">
        <v>103</v>
      </c>
      <c r="R68" s="25"/>
    </row>
    <row r="69" spans="1:26" s="21" customFormat="1" ht="70.5" hidden="1" customHeight="1" thickBot="1">
      <c r="A69" s="129" t="s">
        <v>719</v>
      </c>
      <c r="B69" s="92" t="s">
        <v>321</v>
      </c>
      <c r="C69" s="92">
        <v>0</v>
      </c>
      <c r="D69" s="130">
        <v>0</v>
      </c>
      <c r="E69" s="131" t="s">
        <v>159</v>
      </c>
      <c r="F69" s="24"/>
      <c r="G69" s="222" t="s">
        <v>322</v>
      </c>
      <c r="H69" s="223"/>
      <c r="I69" s="223"/>
      <c r="J69" s="223"/>
      <c r="K69" s="224"/>
      <c r="M69" s="58" t="s">
        <v>77</v>
      </c>
      <c r="N69" s="69" t="s">
        <v>111</v>
      </c>
      <c r="O69" s="69" t="s">
        <v>112</v>
      </c>
      <c r="P69" s="70">
        <v>20</v>
      </c>
      <c r="Q69" s="71" t="s">
        <v>103</v>
      </c>
      <c r="R69" s="25"/>
    </row>
    <row r="70" spans="1:26" s="21" customFormat="1" ht="148.5" hidden="1" customHeight="1">
      <c r="A70" s="129" t="s">
        <v>323</v>
      </c>
      <c r="B70" s="92" t="s">
        <v>324</v>
      </c>
      <c r="C70" s="92">
        <f>VLOOKUP($C$48,$S$50:$AQ$58,20,FALSE)</f>
        <v>2840</v>
      </c>
      <c r="D70" s="130">
        <f>C4</f>
        <v>2840</v>
      </c>
      <c r="E70" s="131" t="s">
        <v>159</v>
      </c>
      <c r="F70" s="24"/>
      <c r="G70" s="132" t="s">
        <v>325</v>
      </c>
      <c r="H70" s="133" t="s">
        <v>326</v>
      </c>
      <c r="I70" s="119" t="s">
        <v>327</v>
      </c>
      <c r="J70" s="81">
        <f>IF(D77=10000,0,IF(D77=5000,1,IF(D77=2500,2,IF(D77=1000,3,3))))</f>
        <v>2</v>
      </c>
      <c r="K70" s="121" t="s">
        <v>328</v>
      </c>
      <c r="M70" s="58" t="s">
        <v>78</v>
      </c>
      <c r="N70" s="69" t="s">
        <v>114</v>
      </c>
      <c r="O70" s="69" t="s">
        <v>115</v>
      </c>
      <c r="P70" s="70">
        <v>8</v>
      </c>
      <c r="Q70" s="71" t="s">
        <v>103</v>
      </c>
      <c r="R70" s="25"/>
    </row>
    <row r="71" spans="1:26" s="21" customFormat="1" ht="45.75" hidden="1" customHeight="1" thickBot="1">
      <c r="A71" s="134" t="s">
        <v>329</v>
      </c>
      <c r="B71" s="90" t="s">
        <v>720</v>
      </c>
      <c r="C71" s="90">
        <f>VLOOKUP($C$48,$S$50:$AQ$58,21,FALSE)</f>
        <v>2840</v>
      </c>
      <c r="D71" s="135">
        <f>C5</f>
        <v>2840</v>
      </c>
      <c r="E71" s="89" t="s">
        <v>159</v>
      </c>
      <c r="F71" s="24"/>
      <c r="G71" s="136" t="s">
        <v>331</v>
      </c>
      <c r="H71" s="137" t="s">
        <v>332</v>
      </c>
      <c r="I71" s="138" t="s">
        <v>493</v>
      </c>
      <c r="J71" s="139">
        <f>ROUNDUP(D79*VLOOKUP($C$48,$S$50:$AQ$58,23,FALSE)/4000,0)</f>
        <v>0</v>
      </c>
      <c r="K71" s="140" t="s">
        <v>211</v>
      </c>
      <c r="M71" s="58" t="s">
        <v>79</v>
      </c>
      <c r="N71" s="69" t="s">
        <v>116</v>
      </c>
      <c r="O71" s="69" t="s">
        <v>115</v>
      </c>
      <c r="P71" s="70">
        <v>8</v>
      </c>
      <c r="Q71" s="71" t="s">
        <v>103</v>
      </c>
    </row>
    <row r="72" spans="1:26" s="21" customFormat="1" ht="48" hidden="1" customHeight="1" thickBot="1">
      <c r="A72" s="262" t="s">
        <v>138</v>
      </c>
      <c r="B72" s="263"/>
      <c r="C72" s="263"/>
      <c r="D72" s="263"/>
      <c r="E72" s="268"/>
      <c r="F72" s="24"/>
      <c r="G72" s="222" t="s">
        <v>143</v>
      </c>
      <c r="H72" s="223"/>
      <c r="I72" s="223"/>
      <c r="J72" s="223"/>
      <c r="K72" s="224"/>
      <c r="M72" s="58" t="s">
        <v>80</v>
      </c>
      <c r="N72" s="69" t="s">
        <v>117</v>
      </c>
      <c r="O72" s="69" t="s">
        <v>118</v>
      </c>
      <c r="P72" s="70">
        <v>4</v>
      </c>
      <c r="Q72" s="71" t="s">
        <v>103</v>
      </c>
    </row>
    <row r="73" spans="1:26" s="21" customFormat="1" ht="69.75" hidden="1" customHeight="1" thickBot="1">
      <c r="A73" s="141" t="s">
        <v>333</v>
      </c>
      <c r="B73" s="142" t="s">
        <v>721</v>
      </c>
      <c r="C73" s="143">
        <v>0</v>
      </c>
      <c r="D73" s="144">
        <v>0</v>
      </c>
      <c r="E73" s="145" t="s">
        <v>142</v>
      </c>
      <c r="G73" s="146" t="s">
        <v>87</v>
      </c>
      <c r="H73" s="147" t="s">
        <v>335</v>
      </c>
      <c r="I73" s="148" t="s">
        <v>336</v>
      </c>
      <c r="J73" s="149">
        <f>IF(ROUNDUP(P99*1000*8/D77,0)&gt;200000000,200000000,ROUNDUP(P99*1000*8/D77,0))</f>
        <v>1718631</v>
      </c>
      <c r="K73" s="150" t="s">
        <v>104</v>
      </c>
      <c r="M73" s="58" t="s">
        <v>52</v>
      </c>
      <c r="N73" s="69" t="s">
        <v>51</v>
      </c>
      <c r="O73" s="69" t="s">
        <v>120</v>
      </c>
      <c r="P73" s="70">
        <v>12</v>
      </c>
      <c r="Q73" s="71" t="s">
        <v>103</v>
      </c>
      <c r="S73" s="262" t="s">
        <v>131</v>
      </c>
      <c r="T73" s="263"/>
      <c r="U73" s="263"/>
      <c r="V73" s="263"/>
      <c r="W73" s="263"/>
      <c r="X73" s="264"/>
    </row>
    <row r="74" spans="1:26" s="21" customFormat="1" ht="62.25" hidden="1" customHeight="1" thickBot="1">
      <c r="A74" s="262" t="s">
        <v>337</v>
      </c>
      <c r="B74" s="263"/>
      <c r="C74" s="263"/>
      <c r="D74" s="263"/>
      <c r="E74" s="268"/>
      <c r="G74" s="222" t="s">
        <v>145</v>
      </c>
      <c r="H74" s="223"/>
      <c r="I74" s="223"/>
      <c r="J74" s="223"/>
      <c r="K74" s="224"/>
      <c r="M74" s="58" t="s">
        <v>55</v>
      </c>
      <c r="N74" s="92" t="s">
        <v>122</v>
      </c>
      <c r="O74" s="69" t="s">
        <v>123</v>
      </c>
      <c r="P74" s="70">
        <f>P69+P70+P71</f>
        <v>36</v>
      </c>
      <c r="Q74" s="71" t="s">
        <v>103</v>
      </c>
      <c r="S74" s="32" t="s">
        <v>212</v>
      </c>
      <c r="T74" s="33" t="s">
        <v>213</v>
      </c>
      <c r="U74" s="33" t="s">
        <v>94</v>
      </c>
      <c r="V74" s="33" t="s">
        <v>98</v>
      </c>
      <c r="W74" s="151" t="s">
        <v>173</v>
      </c>
      <c r="X74" s="41" t="s">
        <v>174</v>
      </c>
    </row>
    <row r="75" spans="1:26" s="21" customFormat="1" ht="50.25" hidden="1" customHeight="1" thickBot="1">
      <c r="A75" s="152" t="s">
        <v>338</v>
      </c>
      <c r="B75" s="153" t="s">
        <v>339</v>
      </c>
      <c r="C75" s="154">
        <v>0</v>
      </c>
      <c r="D75" s="155">
        <v>0</v>
      </c>
      <c r="E75" s="156" t="s">
        <v>142</v>
      </c>
      <c r="G75" s="146" t="s">
        <v>88</v>
      </c>
      <c r="H75" s="147" t="s">
        <v>145</v>
      </c>
      <c r="I75" s="148" t="s">
        <v>340</v>
      </c>
      <c r="J75" s="149">
        <f>IF((100-ROUNDDOWN(10*P92/(125000*D77),0)-1)&lt;0,0,(100-ROUNDDOWN(10*P92/(125000*D77),0)-1))</f>
        <v>99</v>
      </c>
      <c r="K75" s="150" t="s">
        <v>146</v>
      </c>
      <c r="M75" s="58" t="s">
        <v>56</v>
      </c>
      <c r="N75" s="92" t="s">
        <v>126</v>
      </c>
      <c r="O75" s="69" t="s">
        <v>127</v>
      </c>
      <c r="P75" s="70">
        <f>P66+P67+P68+P72</f>
        <v>26</v>
      </c>
      <c r="Q75" s="71" t="s">
        <v>103</v>
      </c>
      <c r="S75" s="157" t="s">
        <v>341</v>
      </c>
      <c r="T75" s="119" t="s">
        <v>342</v>
      </c>
      <c r="U75" s="158" t="s">
        <v>343</v>
      </c>
      <c r="V75" s="45" t="s">
        <v>344</v>
      </c>
      <c r="W75" s="159" t="str">
        <f>"0x"&amp;DEC2HEX(J55)</f>
        <v>0xBB8</v>
      </c>
      <c r="X75" s="160"/>
    </row>
    <row r="76" spans="1:26" s="21" customFormat="1" ht="156" hidden="1" customHeight="1" thickBot="1">
      <c r="A76" s="262" t="s">
        <v>175</v>
      </c>
      <c r="B76" s="263"/>
      <c r="C76" s="263"/>
      <c r="D76" s="263"/>
      <c r="E76" s="268"/>
      <c r="G76" s="222" t="s">
        <v>722</v>
      </c>
      <c r="H76" s="223"/>
      <c r="I76" s="223"/>
      <c r="J76" s="223"/>
      <c r="K76" s="224"/>
      <c r="M76" s="87" t="s">
        <v>58</v>
      </c>
      <c r="N76" s="59" t="s">
        <v>57</v>
      </c>
      <c r="O76" s="59" t="s">
        <v>130</v>
      </c>
      <c r="P76" s="91">
        <f>64-P68-P72-P74</f>
        <v>10</v>
      </c>
      <c r="Q76" s="161" t="s">
        <v>103</v>
      </c>
      <c r="S76" s="162" t="s">
        <v>346</v>
      </c>
      <c r="T76" s="119" t="s">
        <v>347</v>
      </c>
      <c r="U76" s="163" t="s">
        <v>348</v>
      </c>
      <c r="V76" s="69" t="s">
        <v>723</v>
      </c>
      <c r="W76" s="242" t="str">
        <f>"0x"&amp;DEC2HEX(IF(D56="Ultrashort",50,ROUNDUP(P55/37.647*50,0)))</f>
        <v>0x126</v>
      </c>
      <c r="X76" s="165" t="s">
        <v>349</v>
      </c>
    </row>
    <row r="77" spans="1:26" s="21" customFormat="1" ht="84.75" hidden="1" customHeight="1" thickBot="1">
      <c r="A77" s="166" t="s">
        <v>724</v>
      </c>
      <c r="B77" s="80" t="s">
        <v>725</v>
      </c>
      <c r="C77" s="167" t="s">
        <v>142</v>
      </c>
      <c r="D77" s="168">
        <f>C18</f>
        <v>2500</v>
      </c>
      <c r="E77" s="78" t="s">
        <v>176</v>
      </c>
      <c r="G77" s="132" t="s">
        <v>351</v>
      </c>
      <c r="H77" s="133" t="s">
        <v>726</v>
      </c>
      <c r="I77" s="119" t="s">
        <v>353</v>
      </c>
      <c r="J77" s="169" t="str">
        <f>IF((D62=1)*(D55="TriggerWidth"),J55+IF(ROUNDUP((1000*D60/J51),0)&gt;J79,ROUNDUP((1000*D60/J51),0)-J79,0),"null")</f>
        <v>null</v>
      </c>
      <c r="K77" s="2" t="s">
        <v>696</v>
      </c>
      <c r="M77" s="262" t="s">
        <v>181</v>
      </c>
      <c r="N77" s="263"/>
      <c r="O77" s="263"/>
      <c r="P77" s="263"/>
      <c r="Q77" s="268"/>
      <c r="S77" s="162" t="s">
        <v>354</v>
      </c>
      <c r="T77" s="119" t="s">
        <v>727</v>
      </c>
      <c r="U77" s="163" t="s">
        <v>728</v>
      </c>
      <c r="V77" s="55" t="s">
        <v>357</v>
      </c>
      <c r="W77" s="164" t="str">
        <f>"0X"&amp;DEC2HEX(J62)</f>
        <v>0X0</v>
      </c>
      <c r="X77" s="165"/>
    </row>
    <row r="78" spans="1:26" s="21" customFormat="1" ht="57" hidden="1" customHeight="1" thickBot="1">
      <c r="A78" s="129" t="s">
        <v>729</v>
      </c>
      <c r="B78" s="92" t="s">
        <v>730</v>
      </c>
      <c r="C78" s="170">
        <v>1500</v>
      </c>
      <c r="D78" s="130">
        <f>C13</f>
        <v>1500</v>
      </c>
      <c r="E78" s="131" t="s">
        <v>103</v>
      </c>
      <c r="G78" s="136" t="s">
        <v>360</v>
      </c>
      <c r="H78" s="137" t="s">
        <v>731</v>
      </c>
      <c r="I78" s="138" t="s">
        <v>732</v>
      </c>
      <c r="J78" s="171" t="str">
        <f>IF((D62=1)*(D55="TriggerWidth"),IF(D60&gt;D59,(ROUNDUP((1000*D60/J51),0)*J51+P59)/1000,(ROUNDUP((1000*D59/J51),0)*J51+P59)/1000),"null")</f>
        <v>null</v>
      </c>
      <c r="K78" s="140" t="s">
        <v>733</v>
      </c>
      <c r="M78" s="32" t="s">
        <v>96</v>
      </c>
      <c r="N78" s="33" t="s">
        <v>94</v>
      </c>
      <c r="O78" s="33" t="s">
        <v>98</v>
      </c>
      <c r="P78" s="33" t="s">
        <v>157</v>
      </c>
      <c r="Q78" s="34" t="s">
        <v>100</v>
      </c>
      <c r="S78" s="162" t="s">
        <v>363</v>
      </c>
      <c r="T78" s="119" t="s">
        <v>364</v>
      </c>
      <c r="U78" s="163" t="s">
        <v>534</v>
      </c>
      <c r="V78" s="55" t="s">
        <v>366</v>
      </c>
      <c r="W78" s="164" t="str">
        <f>"0x"&amp;DEC2HEX(J79)</f>
        <v>0x1145</v>
      </c>
      <c r="X78" s="165"/>
    </row>
    <row r="79" spans="1:26" s="174" customFormat="1" ht="75.75" hidden="1" customHeight="1" thickBot="1">
      <c r="A79" s="172" t="s">
        <v>367</v>
      </c>
      <c r="B79" s="56" t="str">
        <f>"流通道包间隔 
范围:0"&amp;"-"&amp;J73</f>
        <v>流通道包间隔 
范围:0-1718631</v>
      </c>
      <c r="C79" s="173">
        <v>0</v>
      </c>
      <c r="D79" s="130">
        <f>C14</f>
        <v>0</v>
      </c>
      <c r="E79" s="131" t="s">
        <v>104</v>
      </c>
      <c r="G79" s="136" t="s">
        <v>368</v>
      </c>
      <c r="H79" s="137" t="s">
        <v>369</v>
      </c>
      <c r="I79" s="138" t="s">
        <v>370</v>
      </c>
      <c r="J79" s="171">
        <f>MAX(INT(D59*1000/J51),1)</f>
        <v>4421</v>
      </c>
      <c r="K79" s="175" t="s">
        <v>260</v>
      </c>
      <c r="M79" s="44" t="s">
        <v>81</v>
      </c>
      <c r="N79" s="119" t="s">
        <v>203</v>
      </c>
      <c r="O79" s="45" t="s">
        <v>135</v>
      </c>
      <c r="P79" s="46">
        <f>36</f>
        <v>36</v>
      </c>
      <c r="Q79" s="47" t="s">
        <v>103</v>
      </c>
      <c r="S79" s="162" t="s">
        <v>371</v>
      </c>
      <c r="T79" s="119" t="s">
        <v>372</v>
      </c>
      <c r="U79" s="163" t="s">
        <v>373</v>
      </c>
      <c r="V79" s="56" t="s">
        <v>374</v>
      </c>
      <c r="W79" s="164" t="str">
        <f>"0x"&amp;DEC2HEX(IF(D57&lt;=P59/1000,1,J60))</f>
        <v>0xD49</v>
      </c>
      <c r="X79" s="165"/>
    </row>
    <row r="80" spans="1:26" s="174" customFormat="1" ht="50.1" hidden="1" customHeight="1" thickBot="1">
      <c r="A80" s="176" t="s">
        <v>375</v>
      </c>
      <c r="B80" s="97" t="str">
        <f>"预留带宽 
范围:0-"&amp;J75</f>
        <v>预留带宽 
范围:0-99</v>
      </c>
      <c r="C80" s="177">
        <v>10</v>
      </c>
      <c r="D80" s="135">
        <f>C19</f>
        <v>5</v>
      </c>
      <c r="E80" s="89" t="s">
        <v>146</v>
      </c>
      <c r="G80" s="178" t="s">
        <v>376</v>
      </c>
      <c r="H80" s="179"/>
      <c r="I80" s="225" t="s">
        <v>376</v>
      </c>
      <c r="J80" s="225"/>
      <c r="K80" s="180"/>
      <c r="M80" s="58" t="s">
        <v>82</v>
      </c>
      <c r="N80" s="92" t="s">
        <v>182</v>
      </c>
      <c r="O80" s="69" t="s">
        <v>136</v>
      </c>
      <c r="P80" s="70">
        <v>10</v>
      </c>
      <c r="Q80" s="71" t="s">
        <v>103</v>
      </c>
      <c r="S80" s="162" t="s">
        <v>377</v>
      </c>
      <c r="T80" s="119" t="s">
        <v>378</v>
      </c>
      <c r="U80" s="163" t="s">
        <v>379</v>
      </c>
      <c r="V80" s="69" t="s">
        <v>380</v>
      </c>
      <c r="W80" s="164" t="str">
        <f>IF(D57&gt;P60,"0x"&amp;DEC2HEX(MAX(J55,J56,J57,J58)),"0x"&amp;DEC2HEX(MAX(J55,J56+1,J57,J58)))</f>
        <v>0x1311</v>
      </c>
      <c r="X80" s="165"/>
    </row>
    <row r="81" spans="1:26" s="21" customFormat="1" ht="75" hidden="1" customHeight="1" thickBot="1">
      <c r="A81" s="262"/>
      <c r="B81" s="263"/>
      <c r="C81" s="263"/>
      <c r="D81" s="263"/>
      <c r="E81" s="268"/>
      <c r="G81" s="181" t="s">
        <v>381</v>
      </c>
      <c r="H81" s="106" t="s">
        <v>734</v>
      </c>
      <c r="I81" s="106" t="s">
        <v>383</v>
      </c>
      <c r="J81" s="106" t="str">
        <f>IF(D56="Standard","null",J55+J62+J60+ROUNDUP(P59/1000,0))</f>
        <v>null</v>
      </c>
      <c r="K81" s="106" t="s">
        <v>286</v>
      </c>
      <c r="M81" s="182" t="s">
        <v>83</v>
      </c>
      <c r="N81" s="183" t="s">
        <v>183</v>
      </c>
      <c r="O81" s="183" t="s">
        <v>384</v>
      </c>
      <c r="P81" s="203">
        <v>48</v>
      </c>
      <c r="Q81" s="124" t="s">
        <v>103</v>
      </c>
      <c r="S81" s="184" t="s">
        <v>735</v>
      </c>
      <c r="T81" s="36" t="s">
        <v>736</v>
      </c>
      <c r="U81" s="185" t="s">
        <v>737</v>
      </c>
      <c r="V81" s="49" t="s">
        <v>380</v>
      </c>
      <c r="W81" s="186" t="str">
        <f>"0x"&amp;DEC2HEX(MAX(J55,J56))</f>
        <v>0xD9B</v>
      </c>
      <c r="X81" s="165"/>
      <c r="Y81" s="174"/>
    </row>
    <row r="82" spans="1:26" s="21" customFormat="1" ht="43.5" hidden="1" customHeight="1">
      <c r="A82" s="44" t="s">
        <v>388</v>
      </c>
      <c r="B82" s="45" t="s">
        <v>389</v>
      </c>
      <c r="C82" s="45">
        <v>0</v>
      </c>
      <c r="D82" s="85">
        <f>C17</f>
        <v>0</v>
      </c>
      <c r="E82" s="125" t="s">
        <v>142</v>
      </c>
      <c r="G82" s="178" t="s">
        <v>390</v>
      </c>
      <c r="H82" s="179"/>
      <c r="I82" s="225" t="s">
        <v>390</v>
      </c>
      <c r="J82" s="225"/>
      <c r="K82" s="180"/>
      <c r="M82" s="129" t="s">
        <v>53</v>
      </c>
      <c r="N82" s="92" t="s">
        <v>184</v>
      </c>
      <c r="O82" s="92" t="s">
        <v>185</v>
      </c>
      <c r="P82" s="187">
        <f>D70*D71*IF(D53=8,1,IF(OR(D53="RGB8",D53="BGR8"),3,2))</f>
        <v>8065600</v>
      </c>
      <c r="Q82" s="71" t="s">
        <v>103</v>
      </c>
      <c r="S82" s="184" t="s">
        <v>738</v>
      </c>
      <c r="T82" s="36" t="s">
        <v>392</v>
      </c>
      <c r="U82" s="185" t="s">
        <v>739</v>
      </c>
      <c r="V82" s="49" t="s">
        <v>380</v>
      </c>
      <c r="W82" s="186" t="str">
        <f>"0x"&amp;IF(D64="HighSpeed",IF(D56="TriggerWidth",DEC2HEX(MAX(J55,J57)),DEC2HEX(MAX(J55,J56,J57))),IF(D55="TriggerWidth",DEC2HEX(MAX(J55,J57,P96)),DEC2HEX(MAX(J55,J56,J57,P96))))</f>
        <v>0x121D</v>
      </c>
      <c r="X82" s="165"/>
      <c r="Y82" s="174"/>
    </row>
    <row r="83" spans="1:26" s="21" customFormat="1" ht="60" hidden="1" customHeight="1" thickBot="1">
      <c r="A83" s="87" t="s">
        <v>394</v>
      </c>
      <c r="B83" s="66" t="s">
        <v>395</v>
      </c>
      <c r="C83" s="59">
        <f>VLOOKUP($C$48,$S$50:$AQ$58,22,FALSE)</f>
        <v>35</v>
      </c>
      <c r="D83" s="88">
        <f>C16</f>
        <v>36</v>
      </c>
      <c r="E83" s="188" t="s">
        <v>113</v>
      </c>
      <c r="G83" s="189" t="s">
        <v>396</v>
      </c>
      <c r="H83" s="101" t="s">
        <v>740</v>
      </c>
      <c r="I83" s="189" t="s">
        <v>398</v>
      </c>
      <c r="J83" s="243">
        <f>IF(OR(D57&gt;P60,D85=2,D86=2,D91=2,D92=2),J60+IF(D75=1,0,J62)+P58,J55+J60+IF(D75=1,0,J62)+2)</f>
        <v>3483</v>
      </c>
      <c r="K83" s="101" t="s">
        <v>741</v>
      </c>
      <c r="M83" s="58" t="s">
        <v>54</v>
      </c>
      <c r="N83" s="92" t="s">
        <v>186</v>
      </c>
      <c r="O83" s="92" t="s">
        <v>217</v>
      </c>
      <c r="P83" s="190">
        <f>P82+P81*D73</f>
        <v>8065600</v>
      </c>
      <c r="Q83" s="71" t="s">
        <v>103</v>
      </c>
      <c r="S83" s="191" t="s">
        <v>399</v>
      </c>
      <c r="T83" s="119" t="s">
        <v>400</v>
      </c>
      <c r="U83" s="163" t="s">
        <v>401</v>
      </c>
      <c r="V83" s="92" t="s">
        <v>380</v>
      </c>
      <c r="W83" s="164" t="str">
        <f>"0x"&amp;IF((D62=1)*(D55="TriggerWidth"),1,0)</f>
        <v>0x0</v>
      </c>
      <c r="X83" s="165"/>
      <c r="Y83" s="174"/>
    </row>
    <row r="84" spans="1:26" s="21" customFormat="1" ht="126.75" hidden="1" customHeight="1" thickBot="1">
      <c r="A84" s="262" t="s">
        <v>402</v>
      </c>
      <c r="B84" s="263"/>
      <c r="C84" s="263"/>
      <c r="D84" s="263"/>
      <c r="E84" s="268"/>
      <c r="G84" s="271" t="s">
        <v>403</v>
      </c>
      <c r="H84" s="271"/>
      <c r="I84" s="271"/>
      <c r="J84" s="271"/>
      <c r="K84" s="271"/>
      <c r="M84" s="58" t="s">
        <v>60</v>
      </c>
      <c r="N84" s="92" t="s">
        <v>59</v>
      </c>
      <c r="O84" s="69" t="s">
        <v>137</v>
      </c>
      <c r="P84" s="192">
        <f>INT(P83/(D78-P74))</f>
        <v>5509</v>
      </c>
      <c r="Q84" s="71" t="s">
        <v>404</v>
      </c>
      <c r="S84" s="191" t="s">
        <v>742</v>
      </c>
      <c r="T84" s="56" t="s">
        <v>633</v>
      </c>
      <c r="U84" s="56" t="s">
        <v>407</v>
      </c>
      <c r="V84" s="56" t="s">
        <v>408</v>
      </c>
      <c r="W84" s="244" t="e">
        <f>"0x"&amp;DEC2HEX(P55/37.647*VLOOKUP($C$2,$S$4:$AM$21,4,FALSE)-(VLOOKUP($C$2,$S$4:$AM$21,9,FALSE)/VLOOKUP($C$2,$S$4:$AM$21,5,FALSE)/VLOOKUP($C$2,$S$4:$AM$21,6,FALSE)))</f>
        <v>#N/A</v>
      </c>
      <c r="X84" s="193"/>
      <c r="Z84" s="174"/>
    </row>
    <row r="85" spans="1:26" s="21" customFormat="1" ht="30" hidden="1" customHeight="1">
      <c r="A85" s="44" t="s">
        <v>409</v>
      </c>
      <c r="B85" s="79" t="s">
        <v>743</v>
      </c>
      <c r="C85" s="45">
        <v>1</v>
      </c>
      <c r="D85" s="85">
        <f>C8</f>
        <v>1</v>
      </c>
      <c r="E85" s="125" t="s">
        <v>142</v>
      </c>
      <c r="G85" s="181" t="s">
        <v>744</v>
      </c>
      <c r="H85" s="106" t="s">
        <v>745</v>
      </c>
      <c r="I85" s="181" t="s">
        <v>413</v>
      </c>
      <c r="J85" s="106">
        <v>4</v>
      </c>
      <c r="K85" s="106" t="s">
        <v>414</v>
      </c>
      <c r="M85" s="58" t="s">
        <v>62</v>
      </c>
      <c r="N85" s="92" t="s">
        <v>187</v>
      </c>
      <c r="O85" s="69" t="s">
        <v>139</v>
      </c>
      <c r="P85" s="192">
        <f>P83-(D78-P74)*P84</f>
        <v>424</v>
      </c>
      <c r="Q85" s="71" t="s">
        <v>103</v>
      </c>
      <c r="S85" s="191" t="s">
        <v>415</v>
      </c>
      <c r="T85" s="92" t="str">
        <f>IF(OR(C51="A7",C51="KU3P"),"0x01100000","0x77601500")</f>
        <v>0x77601500</v>
      </c>
      <c r="U85" s="163" t="s">
        <v>179</v>
      </c>
      <c r="V85" s="92" t="s">
        <v>142</v>
      </c>
      <c r="W85" s="164" t="s">
        <v>180</v>
      </c>
      <c r="X85" s="194"/>
      <c r="Z85" s="174"/>
    </row>
    <row r="86" spans="1:26" s="174" customFormat="1" ht="119.25" hidden="1" customHeight="1" thickBot="1">
      <c r="A86" s="87" t="s">
        <v>416</v>
      </c>
      <c r="B86" s="66" t="s">
        <v>746</v>
      </c>
      <c r="C86" s="59">
        <v>1</v>
      </c>
      <c r="D86" s="88">
        <f>C9</f>
        <v>1</v>
      </c>
      <c r="E86" s="188" t="s">
        <v>142</v>
      </c>
      <c r="G86" s="195" t="s">
        <v>747</v>
      </c>
      <c r="H86" s="195" t="s">
        <v>748</v>
      </c>
      <c r="I86" s="195" t="s">
        <v>413</v>
      </c>
      <c r="J86" s="195">
        <f>POWER(2,ROUNDUP(LOG(IF(D53="rgb888",3*VLOOKUP($C$48,$S$50:$AT$58,11,FALSE)*VLOOKUP($C$48,$S$50:$AT$58,12,FALSE),IF(D53=12,2*VLOOKUP($C$48,$S$50:$AT$58,11,FALSE)*VLOOKUP($C$48,$S$50:$AT$58,12,FALSE),VLOOKUP($C$48,$S$50:$AT$58,11,FALSE)*VLOOKUP($C$48,$S$50:$AT$58,12,FALSE)))+P79+P80,2),0))</f>
        <v>8388608</v>
      </c>
      <c r="K86" s="195" t="s">
        <v>420</v>
      </c>
      <c r="M86" s="54" t="s">
        <v>61</v>
      </c>
      <c r="N86" s="56" t="s">
        <v>40</v>
      </c>
      <c r="O86" s="55" t="s">
        <v>214</v>
      </c>
      <c r="P86" s="70">
        <f>IF(MOD(P82,(D78-P74))=0,0,1)</f>
        <v>1</v>
      </c>
      <c r="Q86" s="71" t="s">
        <v>404</v>
      </c>
      <c r="S86" s="196" t="s">
        <v>749</v>
      </c>
      <c r="T86" s="67" t="s">
        <v>421</v>
      </c>
      <c r="U86" s="67" t="s">
        <v>422</v>
      </c>
      <c r="V86" s="67" t="s">
        <v>423</v>
      </c>
      <c r="W86" s="197" t="str">
        <f>"0x"&amp;DEC2HEX(D78-P74)</f>
        <v>0x5B8</v>
      </c>
      <c r="X86" s="198" t="s">
        <v>750</v>
      </c>
      <c r="Y86" s="21"/>
    </row>
    <row r="87" spans="1:26" s="174" customFormat="1" ht="55.5" hidden="1" customHeight="1" thickBot="1">
      <c r="A87" s="262" t="s">
        <v>751</v>
      </c>
      <c r="B87" s="263"/>
      <c r="C87" s="263"/>
      <c r="D87" s="263"/>
      <c r="E87" s="268"/>
      <c r="G87" s="189" t="s">
        <v>752</v>
      </c>
      <c r="H87" s="101" t="s">
        <v>753</v>
      </c>
      <c r="I87" s="189" t="s">
        <v>413</v>
      </c>
      <c r="J87" s="101">
        <f>IF(J85=1,1024*1024*1024,IF(J85=2,2*1024*1024*1024,4*1024*1024*1024))/(8*J86)-1</f>
        <v>63</v>
      </c>
      <c r="K87" s="101" t="s">
        <v>413</v>
      </c>
      <c r="M87" s="58" t="s">
        <v>63</v>
      </c>
      <c r="N87" s="92" t="s">
        <v>188</v>
      </c>
      <c r="O87" s="55" t="s">
        <v>140</v>
      </c>
      <c r="P87" s="192">
        <f>IF(P85&lt;P76,P76,P85)</f>
        <v>424</v>
      </c>
      <c r="Q87" s="71" t="s">
        <v>103</v>
      </c>
      <c r="S87" s="191" t="s">
        <v>649</v>
      </c>
      <c r="T87" s="56" t="s">
        <v>510</v>
      </c>
      <c r="U87" s="56" t="s">
        <v>511</v>
      </c>
      <c r="V87" s="56" t="s">
        <v>431</v>
      </c>
      <c r="W87" s="56" t="str">
        <f>"0x"&amp;DEC2HEX(J71)</f>
        <v>0x0</v>
      </c>
      <c r="X87" s="269" t="s">
        <v>432</v>
      </c>
      <c r="Y87" s="21"/>
      <c r="Z87" s="21"/>
    </row>
    <row r="88" spans="1:26" s="174" customFormat="1" ht="86.25" hidden="1" customHeight="1" thickBot="1">
      <c r="A88" s="44" t="s">
        <v>433</v>
      </c>
      <c r="B88" s="79" t="s">
        <v>434</v>
      </c>
      <c r="C88" s="45">
        <v>1</v>
      </c>
      <c r="D88" s="85">
        <v>1</v>
      </c>
      <c r="E88" s="125" t="s">
        <v>142</v>
      </c>
      <c r="M88" s="54" t="s">
        <v>64</v>
      </c>
      <c r="N88" s="56" t="s">
        <v>189</v>
      </c>
      <c r="O88" s="55" t="s">
        <v>141</v>
      </c>
      <c r="P88" s="192">
        <f>P75+P74+P79</f>
        <v>98</v>
      </c>
      <c r="Q88" s="71" t="s">
        <v>103</v>
      </c>
      <c r="S88" s="199" t="s">
        <v>435</v>
      </c>
      <c r="T88" s="138" t="s">
        <v>436</v>
      </c>
      <c r="U88" s="138" t="s">
        <v>437</v>
      </c>
      <c r="V88" s="138" t="s">
        <v>438</v>
      </c>
      <c r="W88" s="138" t="str">
        <f>"0x"&amp;DEC2HEX(J70)</f>
        <v>0x2</v>
      </c>
      <c r="X88" s="270"/>
      <c r="Y88" s="21"/>
      <c r="Z88" s="21"/>
    </row>
    <row r="89" spans="1:26" s="21" customFormat="1" ht="52.5" hidden="1" customHeight="1" thickBot="1">
      <c r="A89" s="87" t="s">
        <v>754</v>
      </c>
      <c r="B89" s="66" t="s">
        <v>440</v>
      </c>
      <c r="C89" s="59">
        <v>1</v>
      </c>
      <c r="D89" s="88">
        <v>1</v>
      </c>
      <c r="E89" s="188" t="s">
        <v>142</v>
      </c>
      <c r="G89" s="174" t="s">
        <v>755</v>
      </c>
      <c r="H89" s="174">
        <f>C70*8*IF(D53=8,1,2)/J51/(IF(D85=2,2,1))</f>
        <v>3.8639455782312924</v>
      </c>
      <c r="I89" s="174" t="s">
        <v>442</v>
      </c>
      <c r="J89" s="174"/>
      <c r="K89" s="174"/>
      <c r="M89" s="54" t="s">
        <v>65</v>
      </c>
      <c r="N89" s="56" t="s">
        <v>190</v>
      </c>
      <c r="O89" s="55" t="s">
        <v>191</v>
      </c>
      <c r="P89" s="192">
        <f>P75+P74+P80</f>
        <v>72</v>
      </c>
      <c r="Q89" s="71" t="s">
        <v>103</v>
      </c>
      <c r="S89" s="200" t="s">
        <v>658</v>
      </c>
      <c r="T89" s="201" t="s">
        <v>659</v>
      </c>
      <c r="U89" s="202" t="s">
        <v>444</v>
      </c>
      <c r="V89" s="203" t="s">
        <v>445</v>
      </c>
      <c r="W89" s="204" t="str">
        <f>"0x"&amp;DEC2HEX(J61)</f>
        <v>0x0</v>
      </c>
      <c r="X89" s="165"/>
    </row>
    <row r="90" spans="1:26" s="21" customFormat="1" ht="66.75" hidden="1" customHeight="1" thickBot="1">
      <c r="A90" s="262" t="s">
        <v>519</v>
      </c>
      <c r="B90" s="263"/>
      <c r="C90" s="263"/>
      <c r="D90" s="263"/>
      <c r="E90" s="268"/>
      <c r="G90" s="174" t="s">
        <v>446</v>
      </c>
      <c r="H90" s="174">
        <f>J67*8/1000/1000/1000</f>
        <v>2.3433943068185781</v>
      </c>
      <c r="I90" s="174"/>
      <c r="J90" s="174"/>
      <c r="K90" s="174"/>
      <c r="M90" s="54" t="s">
        <v>66</v>
      </c>
      <c r="N90" s="56" t="s">
        <v>41</v>
      </c>
      <c r="O90" s="55" t="s">
        <v>447</v>
      </c>
      <c r="P90" s="192">
        <f>P84*(D78+P75)+P86*(P87+P75+P74)</f>
        <v>8407220</v>
      </c>
      <c r="Q90" s="71" t="s">
        <v>103</v>
      </c>
    </row>
    <row r="91" spans="1:26" s="21" customFormat="1" ht="45" hidden="1" customHeight="1">
      <c r="A91" s="44" t="s">
        <v>433</v>
      </c>
      <c r="B91" s="79" t="s">
        <v>434</v>
      </c>
      <c r="C91" s="45">
        <v>1</v>
      </c>
      <c r="D91" s="85">
        <v>1</v>
      </c>
      <c r="E91" s="125" t="s">
        <v>142</v>
      </c>
      <c r="G91" s="84" t="s">
        <v>448</v>
      </c>
      <c r="H91" s="84">
        <f>I91-H90</f>
        <v>9.4966056931814222</v>
      </c>
      <c r="I91" s="174">
        <f>16*0.74</f>
        <v>11.84</v>
      </c>
      <c r="M91" s="209" t="s">
        <v>67</v>
      </c>
      <c r="N91" s="56" t="s">
        <v>192</v>
      </c>
      <c r="O91" s="56" t="s">
        <v>193</v>
      </c>
      <c r="P91" s="210">
        <f>(2+P86+P84)*P98</f>
        <v>110240</v>
      </c>
      <c r="Q91" s="124" t="s">
        <v>103</v>
      </c>
      <c r="U91" s="115"/>
    </row>
    <row r="92" spans="1:26" s="21" customFormat="1" ht="45" hidden="1" customHeight="1" thickBot="1">
      <c r="A92" s="87" t="s">
        <v>439</v>
      </c>
      <c r="B92" s="66" t="s">
        <v>440</v>
      </c>
      <c r="C92" s="59">
        <v>1</v>
      </c>
      <c r="D92" s="88">
        <v>1</v>
      </c>
      <c r="E92" s="188" t="s">
        <v>142</v>
      </c>
      <c r="G92" s="84" t="s">
        <v>449</v>
      </c>
      <c r="H92" s="96">
        <f>H91-H89</f>
        <v>5.6326601149501299</v>
      </c>
      <c r="I92" s="84" t="s">
        <v>450</v>
      </c>
      <c r="M92" s="129" t="s">
        <v>68</v>
      </c>
      <c r="N92" s="92" t="s">
        <v>194</v>
      </c>
      <c r="O92" s="92" t="s">
        <v>144</v>
      </c>
      <c r="P92" s="187">
        <f>P88+P89+P90+P91</f>
        <v>8517630</v>
      </c>
      <c r="Q92" s="124" t="s">
        <v>103</v>
      </c>
      <c r="U92" s="115"/>
    </row>
    <row r="93" spans="1:26" s="21" customFormat="1" ht="45" hidden="1" customHeight="1">
      <c r="A93" s="245" t="s">
        <v>44</v>
      </c>
      <c r="B93" s="246"/>
      <c r="C93" s="246"/>
      <c r="D93" s="246"/>
      <c r="E93" s="247"/>
      <c r="G93" s="84" t="s">
        <v>451</v>
      </c>
      <c r="H93" s="84">
        <f>H89-H90</f>
        <v>1.5205512714127143</v>
      </c>
      <c r="I93" s="84" t="s">
        <v>452</v>
      </c>
      <c r="M93" s="209" t="s">
        <v>70</v>
      </c>
      <c r="N93" s="56" t="s">
        <v>69</v>
      </c>
      <c r="O93" s="56" t="s">
        <v>195</v>
      </c>
      <c r="P93" s="57">
        <f>INT(1000000*D77*(100-D80)/80)</f>
        <v>2968750000</v>
      </c>
      <c r="Q93" s="211" t="s">
        <v>196</v>
      </c>
      <c r="U93" s="115"/>
    </row>
    <row r="94" spans="1:26" s="21" customFormat="1" ht="60" hidden="1" customHeight="1" thickBot="1">
      <c r="A94" s="205" t="s">
        <v>43</v>
      </c>
      <c r="B94" s="206" t="s">
        <v>89</v>
      </c>
      <c r="C94" s="206"/>
      <c r="D94" s="207">
        <f>J53</f>
        <v>34.841991568238043</v>
      </c>
      <c r="E94" s="208"/>
      <c r="G94" s="84"/>
      <c r="H94" s="84"/>
      <c r="I94" s="84"/>
      <c r="M94" s="212" t="s">
        <v>72</v>
      </c>
      <c r="N94" s="90" t="s">
        <v>71</v>
      </c>
      <c r="O94" s="90" t="s">
        <v>215</v>
      </c>
      <c r="P94" s="108">
        <f>ROUNDUP(P92*1000000/P93,0)*10</f>
        <v>28700</v>
      </c>
      <c r="Q94" s="89" t="s">
        <v>110</v>
      </c>
    </row>
    <row r="95" spans="1:26" s="21" customFormat="1" ht="78" hidden="1" customHeight="1" thickBot="1">
      <c r="G95" s="84"/>
      <c r="H95" s="84"/>
      <c r="I95" s="84"/>
      <c r="M95" s="3" t="s">
        <v>453</v>
      </c>
      <c r="N95" s="189" t="s">
        <v>756</v>
      </c>
      <c r="O95" s="189" t="s">
        <v>454</v>
      </c>
      <c r="P95" s="213">
        <f>INT(1000000*D77*(100)/80)</f>
        <v>3125000000</v>
      </c>
      <c r="Q95" s="214" t="s">
        <v>757</v>
      </c>
    </row>
    <row r="96" spans="1:26" s="21" customFormat="1" ht="71.25" hidden="1" customHeight="1" thickBot="1">
      <c r="M96" s="215" t="s">
        <v>758</v>
      </c>
      <c r="N96" s="216" t="s">
        <v>759</v>
      </c>
      <c r="O96" s="217" t="s">
        <v>215</v>
      </c>
      <c r="P96" s="218">
        <f>IF(D56="Ultrashort",ROUNDUP(P92*1000000/P95,0)*10,ROUNDUP(ROUNDUP(P92*1000000/P95,0)*10*1000/J51,0))</f>
        <v>4637</v>
      </c>
      <c r="Q96" s="89" t="str">
        <f>IF(D56="Ultrashort","us","line")</f>
        <v>line</v>
      </c>
    </row>
    <row r="97" spans="13:17" s="21" customFormat="1" ht="30" hidden="1" customHeight="1" thickBot="1">
      <c r="M97" s="248" t="s">
        <v>458</v>
      </c>
      <c r="N97" s="249"/>
      <c r="O97" s="249"/>
      <c r="P97" s="249"/>
      <c r="Q97" s="250"/>
    </row>
    <row r="98" spans="13:17" s="21" customFormat="1" ht="45" hidden="1" customHeight="1">
      <c r="M98" s="219" t="s">
        <v>459</v>
      </c>
      <c r="N98" s="220" t="s">
        <v>460</v>
      </c>
      <c r="O98" s="56" t="s">
        <v>461</v>
      </c>
      <c r="P98" s="57">
        <f>MAX(ROUNDUP(D79*D77/1000/8,0),P73+8)</f>
        <v>20</v>
      </c>
      <c r="Q98" s="124" t="s">
        <v>462</v>
      </c>
    </row>
    <row r="99" spans="13:17" s="21" customFormat="1" ht="30" hidden="1" customHeight="1" thickBot="1">
      <c r="M99" s="136" t="s">
        <v>463</v>
      </c>
      <c r="N99" s="137" t="s">
        <v>464</v>
      </c>
      <c r="O99" s="138" t="s">
        <v>465</v>
      </c>
      <c r="P99" s="139">
        <f>ROUNDDOWN((P93-(P90+P89+P88))/(P84+P86+2),0)</f>
        <v>537072</v>
      </c>
      <c r="Q99" s="140" t="s">
        <v>462</v>
      </c>
    </row>
    <row r="100" spans="13:17" s="21" customFormat="1" ht="20.25" customHeight="1"/>
  </sheetData>
  <sheetProtection algorithmName="SHA-512" hashValue="RJK2M9Frd/KrS43HIVMfFHj+aH+42u5nvA6N7vbjkAyAFTOH5XSb+CvK2S7rk6W1dvXlFM8vM6NRcMS/Z1Vrpg==" saltValue="JpmdG7uSh5KOGfuA/0iANg==" spinCount="100000" sheet="1" objects="1" scenarios="1" selectLockedCells="1"/>
  <mergeCells count="29">
    <mergeCell ref="A93:E93"/>
    <mergeCell ref="M97:Q97"/>
    <mergeCell ref="A87:E87"/>
    <mergeCell ref="X87:X88"/>
    <mergeCell ref="A90:E90"/>
    <mergeCell ref="A74:E74"/>
    <mergeCell ref="A76:E76"/>
    <mergeCell ref="M77:Q77"/>
    <mergeCell ref="A81:E81"/>
    <mergeCell ref="A84:E84"/>
    <mergeCell ref="G84:K84"/>
    <mergeCell ref="S73:X73"/>
    <mergeCell ref="A50:E50"/>
    <mergeCell ref="A52:E52"/>
    <mergeCell ref="A54:E54"/>
    <mergeCell ref="G54:K54"/>
    <mergeCell ref="G59:K59"/>
    <mergeCell ref="A61:E61"/>
    <mergeCell ref="M64:Q64"/>
    <mergeCell ref="A65:E65"/>
    <mergeCell ref="G65:K65"/>
    <mergeCell ref="A67:D67"/>
    <mergeCell ref="A72:E72"/>
    <mergeCell ref="E48:E49"/>
    <mergeCell ref="G48:K48"/>
    <mergeCell ref="M48:Q48"/>
    <mergeCell ref="S48:AT48"/>
    <mergeCell ref="G49:K49"/>
    <mergeCell ref="M49:Q49"/>
  </mergeCells>
  <phoneticPr fontId="9" type="noConversion"/>
  <dataValidations count="41">
    <dataValidation allowBlank="1" showInputMessage="1" showErrorMessage="1" error="The setting value exceeds the reserved bandwidth range" sqref="C20"/>
    <dataValidation type="custom" allowBlank="1" showInputMessage="1" showErrorMessage="1" error="Please enter a 0 or 1" sqref="C17 C21">
      <formula1>OR((C17=0),(C17=1))</formula1>
    </dataValidation>
    <dataValidation allowBlank="1" showInputMessage="1" showErrorMessage="1" error="Set the value to exceed the maximum" sqref="C15"/>
    <dataValidation type="custom" allowBlank="1" showInputMessage="1" showErrorMessage="1" error="Input 1 or 2" sqref="C8:C9">
      <formula1>AND(OR((C8=1),(C8=2)),C6=1)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type="custom" allowBlank="1" showInputMessage="1" showErrorMessage="1" error="Please enter 2500 or 1000" sqref="C18">
      <formula1>OR((C18=2500),(C18=1000))</formula1>
    </dataValidation>
    <dataValidation type="custom" allowBlank="1" showInputMessage="1" showErrorMessage="1" error="Set the value range :[ 0.1,10000.0], accurate to one decimal" sqref="C16">
      <formula1>AND(TRUNC(C16,1)=C16,(C16&gt;=0.1),(C16&lt;=10000))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whole" allowBlank="1" showInputMessage="1" showErrorMessage="1" error="The input range :[3,15000000]" sqref="C10">
      <formula1>3</formula1>
      <formula2>15000000</formula2>
    </dataValidation>
    <dataValidation type="custom" allowBlank="1" showInputMessage="1" showErrorMessage="1" error="输入参数值为1或者2，并且当垂直像素抽样不为1时不能输入" sqref="C7">
      <formula1>AND(OR((C7=1),(C7=2)),C9=1)</formula1>
    </dataValidation>
    <dataValidation type="custom" allowBlank="1" showInputMessage="1" showErrorMessage="1" error="输入参数值为1或者2，并且当水平像素抽样不为1时不能输入" sqref="C6">
      <formula1>AND(OR((C6=1),(C6=2)),C8=1)</formula1>
    </dataValidation>
    <dataValidation allowBlank="1" showInputMessage="1" showErrorMessage="1" error="输入范围是64~1024，步长为2" sqref="A1:C1"/>
    <dataValidation type="whole" allowBlank="1" showInputMessage="1" showErrorMessage="1" error="Set the value range:[ 0,'GevSCPDMaxValue']" sqref="C14">
      <formula1>0</formula1>
      <formula2>C15</formula2>
    </dataValidation>
    <dataValidation type="custom" allowBlank="1" showInputMessage="1" showErrorMessage="1" error="Input range:[8,'HeightMax'],and is an integer multiple of 8" sqref="C5">
      <formula1>AND((C5&lt;=C3),(C5&gt;=8),(MOD(C5,8)=0))</formula1>
    </dataValidation>
    <dataValidation type="custom" allowBlank="1" showInputMessage="1" showErrorMessage="1" error="Input range:[8,'WidthMax'],and is an integer multiple of 8" sqref="C4">
      <formula1>AND((C4&lt;=C2),(C4&gt;=8),(MOD(C4,8)=0))</formula1>
    </dataValidation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Please enter 8、12、RGB8 or BGR8" sqref="C12">
      <formula1>OR((C12=8),(C12=12),(C12="RGB8"),(C12="BGR8"))</formula1>
    </dataValidation>
    <dataValidation type="list" allowBlank="1" showInputMessage="1" showErrorMessage="1" sqref="J85">
      <formula1>"1,2,4"</formula1>
    </dataValidation>
    <dataValidation type="list" allowBlank="1" showInputMessage="1" showErrorMessage="1" prompt="突发采集模式只能在触发模式下选择" sqref="D64">
      <formula1>"Standard,HighSpeed"</formula1>
    </dataValidation>
    <dataValidation type="whole" allowBlank="1" showInputMessage="1" showErrorMessage="1" errorTitle="输入数值非法" error="最小值4，最大值D12" sqref="D59">
      <formula1>0</formula1>
      <formula2>INT(J55*J51/1000)</formula2>
    </dataValidation>
    <dataValidation type="list" allowBlank="1" showInputMessage="1" showErrorMessage="1" sqref="D49">
      <formula1>"BPP8,BPP10,BPP12"</formula1>
    </dataValidation>
    <dataValidation type="whole" allowBlank="1" showInputMessage="1" showErrorMessage="1" errorTitle="设置值超出范围" error="包间隔设置值超出范围" sqref="D79">
      <formula1>0</formula1>
      <formula2>J73</formula2>
    </dataValidation>
    <dataValidation type="whole" allowBlank="1" showInputMessage="1" showErrorMessage="1" errorTitle="设置值超出范围" error="预留带宽设置值超出范围" sqref="D80">
      <formula1>0</formula1>
      <formula2>J75</formula2>
    </dataValidation>
    <dataValidation type="list" allowBlank="1" showInputMessage="1" showErrorMessage="1" errorTitle="超出范围" error="曝光时间的范围是14us-1s" sqref="D56">
      <formula1>"Standard,Ultrashort"</formula1>
    </dataValidation>
    <dataValidation type="whole" operator="lessThanOrEqual" allowBlank="1" showInputMessage="1" showErrorMessage="1" sqref="D68:D69">
      <formula1>C70</formula1>
    </dataValidation>
    <dataValidation type="whole" allowBlank="1" showInputMessage="1" showErrorMessage="1" errorTitle="输入数值非法" error="最小值2，最大值1000000" sqref="D60">
      <formula1>0</formula1>
      <formula2>1000000</formula2>
    </dataValidation>
    <dataValidation type="list" allowBlank="1" showInputMessage="1" showErrorMessage="1" errorTitle="超出范围" error="曝光时间的范围是14us-1s" sqref="D55">
      <formula1>"Timed,TriggerWidth"</formula1>
    </dataValidation>
    <dataValidation type="whole" operator="lessThanOrEqual" allowBlank="1" showInputMessage="1" showErrorMessage="1" error="Binning/Skipping系数最大为2" prompt="设置垂直Binning/Skipping时，需要同步修改垂直ROI" sqref="D89 D86 D92">
      <formula1>2</formula1>
    </dataValidation>
    <dataValidation type="whole" operator="lessThanOrEqual" allowBlank="1" showInputMessage="1" showErrorMessage="1" error="Binning/Skipping系数最大为2" prompt="设置水平Binning/Skipping时，需要同步修改水平ROI" sqref="D88 D85 D91">
      <formula1>2</formula1>
    </dataValidation>
    <dataValidation type="decimal" allowBlank="1" showInputMessage="1" showErrorMessage="1" sqref="D83">
      <formula1>0.1</formula1>
      <formula2>10000</formula2>
    </dataValidation>
    <dataValidation type="list" allowBlank="1" showInputMessage="1" showErrorMessage="1" errorTitle="超出范围" error="0:关闭_x000a_1:打开" sqref="D82">
      <formula1>"0,1"</formula1>
    </dataValidation>
    <dataValidation type="custom" allowBlank="1" showInputMessage="1" showErrorMessage="1" sqref="D78">
      <formula1>AND(MOD(D78,4)=0,D78&gt;=512,D78&lt;=16384)</formula1>
    </dataValidation>
    <dataValidation type="list" allowBlank="1" showInputMessage="1" showErrorMessage="1" sqref="D77">
      <formula1>"1000,2500"</formula1>
    </dataValidation>
    <dataValidation type="list" allowBlank="1" showInputMessage="1" showErrorMessage="1" sqref="D73 D75 D62:D63">
      <formula1>"0,1"</formula1>
    </dataValidation>
    <dataValidation type="whole" allowBlank="1" showInputMessage="1" showErrorMessage="1" errorTitle="输入数值非法" error="最小值2，最大值D13" sqref="D71">
      <formula1>2</formula1>
      <formula2>C71</formula2>
    </dataValidation>
    <dataValidation type="whole" allowBlank="1" showInputMessage="1" showErrorMessage="1" errorTitle="超出范围" error="曝光时间的范围是14us-1s" sqref="D57">
      <formula1>10</formula1>
      <formula2>1000000</formula2>
    </dataValidation>
    <dataValidation type="list" allowBlank="1" showInputMessage="1" showErrorMessage="1" sqref="D53">
      <formula1>"8,12,RGB8,BGR8"</formula1>
    </dataValidation>
    <dataValidation type="whole" allowBlank="1" showInputMessage="1" showErrorMessage="1" errorTitle="超出范围" error="曝光延迟的范围是0-5000us" sqref="D58">
      <formula1>0</formula1>
      <formula2>5000</formula2>
    </dataValidation>
    <dataValidation type="list" allowBlank="1" showInputMessage="1" showErrorMessage="1" sqref="C49">
      <formula1>$AQ$4:$AQ$7</formula1>
    </dataValidation>
    <dataValidation type="whole" allowBlank="1" showInputMessage="1" showErrorMessage="1" errorTitle="输入数值非法" error="最小值4，最大值D12" sqref="D70">
      <formula1>4</formula1>
      <formula2>C70</formula2>
    </dataValidation>
    <dataValidation type="whole" allowBlank="1" showInputMessage="1" showErrorMessage="1" errorTitle="超出范围" error="触发延时的范围是0-3000000us" sqref="D66">
      <formula1>0</formula1>
      <formula2>3000000</formula2>
    </dataValidation>
  </dataValidations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0"/>
  <sheetViews>
    <sheetView topLeftCell="B1" workbookViewId="0">
      <selection activeCell="C8" sqref="C8"/>
    </sheetView>
  </sheetViews>
  <sheetFormatPr defaultRowHeight="13.5"/>
  <cols>
    <col min="1" max="1" width="22.75" hidden="1" customWidth="1"/>
    <col min="2" max="2" width="32.625" customWidth="1"/>
    <col min="3" max="3" width="16.625" customWidth="1"/>
  </cols>
  <sheetData>
    <row r="1" spans="1:4">
      <c r="A1" s="12" t="s">
        <v>4</v>
      </c>
      <c r="B1" s="12"/>
      <c r="C1" s="13"/>
    </row>
    <row r="2" spans="1:4">
      <c r="A2" s="6" t="s">
        <v>5</v>
      </c>
      <c r="B2" s="6" t="s">
        <v>6</v>
      </c>
      <c r="C2" s="6">
        <f>C70</f>
        <v>2448</v>
      </c>
    </row>
    <row r="3" spans="1:4">
      <c r="A3" s="6" t="s">
        <v>7</v>
      </c>
      <c r="B3" s="6" t="s">
        <v>8</v>
      </c>
      <c r="C3" s="6">
        <f>C71</f>
        <v>2048</v>
      </c>
    </row>
    <row r="4" spans="1:4">
      <c r="A4" s="12" t="s">
        <v>9</v>
      </c>
      <c r="B4" s="12" t="s">
        <v>10</v>
      </c>
      <c r="C4" s="14">
        <v>2448</v>
      </c>
      <c r="D4" s="15" t="str">
        <f>IF(OR(C4&gt;C2,C4&lt;8),B41,"")</f>
        <v/>
      </c>
    </row>
    <row r="5" spans="1:4">
      <c r="A5" s="12" t="s">
        <v>11</v>
      </c>
      <c r="B5" s="12" t="s">
        <v>12</v>
      </c>
      <c r="C5" s="14">
        <v>2048</v>
      </c>
      <c r="D5" s="15" t="str">
        <f>IF(OR(C5&gt;C3,C5&lt;8),B42,"")</f>
        <v/>
      </c>
    </row>
    <row r="6" spans="1:4" hidden="1">
      <c r="A6" s="6" t="s">
        <v>13</v>
      </c>
      <c r="B6" s="6" t="s">
        <v>14</v>
      </c>
      <c r="C6" s="7">
        <v>1</v>
      </c>
    </row>
    <row r="7" spans="1:4" hidden="1">
      <c r="A7" s="6" t="s">
        <v>15</v>
      </c>
      <c r="B7" s="6" t="s">
        <v>16</v>
      </c>
      <c r="C7" s="7">
        <v>1</v>
      </c>
    </row>
    <row r="8" spans="1:4">
      <c r="A8" s="6" t="s">
        <v>17</v>
      </c>
      <c r="B8" s="6" t="s">
        <v>469</v>
      </c>
      <c r="C8" s="7">
        <v>1</v>
      </c>
      <c r="D8" s="16" t="str">
        <f>IF(C8&lt;&gt;C9,B44,"")</f>
        <v/>
      </c>
    </row>
    <row r="9" spans="1:4">
      <c r="A9" s="6" t="s">
        <v>18</v>
      </c>
      <c r="B9" s="6" t="s">
        <v>470</v>
      </c>
      <c r="C9" s="7">
        <v>1</v>
      </c>
      <c r="D9" s="16"/>
    </row>
    <row r="10" spans="1:4">
      <c r="A10" s="12" t="s">
        <v>19</v>
      </c>
      <c r="B10" s="12" t="s">
        <v>20</v>
      </c>
      <c r="C10" s="14">
        <v>10000</v>
      </c>
    </row>
    <row r="11" spans="1:4">
      <c r="A11" s="12" t="s">
        <v>21</v>
      </c>
      <c r="B11" s="12" t="s">
        <v>22</v>
      </c>
      <c r="C11" s="14">
        <v>0</v>
      </c>
    </row>
    <row r="12" spans="1:4">
      <c r="A12" s="12" t="s">
        <v>23</v>
      </c>
      <c r="B12" s="12" t="s">
        <v>478</v>
      </c>
      <c r="C12" s="221">
        <v>8</v>
      </c>
    </row>
    <row r="13" spans="1:4">
      <c r="A13" s="12" t="s">
        <v>24</v>
      </c>
      <c r="B13" s="12" t="s">
        <v>25</v>
      </c>
      <c r="C13" s="14">
        <v>1500</v>
      </c>
    </row>
    <row r="14" spans="1:4">
      <c r="A14" s="12" t="s">
        <v>26</v>
      </c>
      <c r="B14" s="12" t="s">
        <v>27</v>
      </c>
      <c r="C14" s="14">
        <v>0</v>
      </c>
    </row>
    <row r="15" spans="1:4">
      <c r="A15" s="12" t="s">
        <v>28</v>
      </c>
      <c r="B15" s="12" t="s">
        <v>29</v>
      </c>
      <c r="C15" s="17">
        <f>J73</f>
        <v>2767223</v>
      </c>
    </row>
    <row r="16" spans="1:4">
      <c r="A16" s="12" t="s">
        <v>30</v>
      </c>
      <c r="B16" s="12" t="s">
        <v>31</v>
      </c>
      <c r="C16" s="14">
        <v>58</v>
      </c>
    </row>
    <row r="17" spans="1:4">
      <c r="A17" s="12" t="s">
        <v>32</v>
      </c>
      <c r="B17" s="12" t="s">
        <v>33</v>
      </c>
      <c r="C17" s="14">
        <v>0</v>
      </c>
    </row>
    <row r="18" spans="1:4">
      <c r="A18" s="12" t="s">
        <v>34</v>
      </c>
      <c r="B18" s="12" t="s">
        <v>35</v>
      </c>
      <c r="C18" s="14">
        <v>2500</v>
      </c>
    </row>
    <row r="19" spans="1:4">
      <c r="A19" s="12" t="s">
        <v>36</v>
      </c>
      <c r="B19" s="12" t="s">
        <v>37</v>
      </c>
      <c r="C19" s="14">
        <v>5</v>
      </c>
    </row>
    <row r="20" spans="1:4">
      <c r="A20" s="12" t="s">
        <v>38</v>
      </c>
      <c r="B20" s="12" t="s">
        <v>39</v>
      </c>
      <c r="C20" s="17">
        <f>J75</f>
        <v>99</v>
      </c>
    </row>
    <row r="21" spans="1:4">
      <c r="A21" s="17" t="s">
        <v>46</v>
      </c>
      <c r="B21" s="17" t="s">
        <v>47</v>
      </c>
      <c r="C21" s="14">
        <v>0</v>
      </c>
    </row>
    <row r="22" spans="1:4">
      <c r="A22" s="12"/>
      <c r="B22" s="12"/>
      <c r="C22" s="17"/>
    </row>
    <row r="23" spans="1:4" ht="14.25">
      <c r="A23" s="18" t="s">
        <v>44</v>
      </c>
      <c r="B23" s="18"/>
      <c r="C23" s="19"/>
    </row>
    <row r="24" spans="1:4" ht="14.25">
      <c r="A24" s="18" t="s">
        <v>43</v>
      </c>
      <c r="B24" s="18" t="s">
        <v>45</v>
      </c>
      <c r="C24" s="20">
        <f>D94</f>
        <v>56.044387154626463</v>
      </c>
      <c r="D24" s="15" t="str">
        <f>IF(B39=1,B43,"")</f>
        <v/>
      </c>
    </row>
    <row r="37" spans="1:46" hidden="1"/>
    <row r="38" spans="1:46" hidden="1">
      <c r="B38" s="5" t="s">
        <v>472</v>
      </c>
    </row>
    <row r="39" spans="1:46" hidden="1">
      <c r="B39">
        <f>IF(OR(OR(C4&gt;C2,C4&lt;8),OR(C5&gt;C3,C5&lt;8)),1,0)</f>
        <v>0</v>
      </c>
    </row>
    <row r="40" spans="1:46" hidden="1">
      <c r="B40" s="5" t="s">
        <v>467</v>
      </c>
    </row>
    <row r="41" spans="1:46" hidden="1">
      <c r="B41" s="5" t="s">
        <v>466</v>
      </c>
    </row>
    <row r="42" spans="1:46" hidden="1">
      <c r="B42" s="5" t="s">
        <v>473</v>
      </c>
    </row>
    <row r="43" spans="1:46" hidden="1">
      <c r="B43" s="5" t="s">
        <v>468</v>
      </c>
    </row>
    <row r="44" spans="1:46" hidden="1">
      <c r="B44" s="5" t="s">
        <v>471</v>
      </c>
    </row>
    <row r="45" spans="1:46" hidden="1"/>
    <row r="46" spans="1:46" hidden="1">
      <c r="B46" s="5"/>
    </row>
    <row r="47" spans="1:46" s="21" customFormat="1" ht="30" hidden="1" customHeight="1" thickBot="1"/>
    <row r="48" spans="1:46" s="21" customFormat="1" ht="30" hidden="1" customHeight="1" thickBot="1">
      <c r="A48" s="22" t="s">
        <v>91</v>
      </c>
      <c r="B48" s="22" t="s">
        <v>92</v>
      </c>
      <c r="C48" s="23" t="s">
        <v>261</v>
      </c>
      <c r="D48" s="23" t="s">
        <v>670</v>
      </c>
      <c r="E48" s="251" t="s">
        <v>220</v>
      </c>
      <c r="F48" s="24"/>
      <c r="G48" s="253" t="s">
        <v>93</v>
      </c>
      <c r="H48" s="254"/>
      <c r="I48" s="254"/>
      <c r="J48" s="254"/>
      <c r="K48" s="255"/>
      <c r="L48" s="25"/>
      <c r="M48" s="253" t="s">
        <v>150</v>
      </c>
      <c r="N48" s="254"/>
      <c r="O48" s="254"/>
      <c r="P48" s="254"/>
      <c r="Q48" s="255"/>
      <c r="R48" s="25"/>
      <c r="S48" s="256" t="s">
        <v>151</v>
      </c>
      <c r="T48" s="257"/>
      <c r="U48" s="257"/>
      <c r="V48" s="257"/>
      <c r="W48" s="257"/>
      <c r="X48" s="257"/>
      <c r="Y48" s="257"/>
      <c r="Z48" s="257"/>
      <c r="AA48" s="257"/>
      <c r="AB48" s="257"/>
      <c r="AC48" s="257"/>
      <c r="AD48" s="257"/>
      <c r="AE48" s="257"/>
      <c r="AF48" s="257"/>
      <c r="AG48" s="257"/>
      <c r="AH48" s="257"/>
      <c r="AI48" s="257"/>
      <c r="AJ48" s="257"/>
      <c r="AK48" s="257"/>
      <c r="AL48" s="257"/>
      <c r="AM48" s="257"/>
      <c r="AN48" s="257"/>
      <c r="AO48" s="257"/>
      <c r="AP48" s="257"/>
      <c r="AQ48" s="257"/>
      <c r="AR48" s="257"/>
      <c r="AS48" s="257"/>
      <c r="AT48" s="258"/>
    </row>
    <row r="49" spans="1:46" s="21" customFormat="1" ht="30" hidden="1" customHeight="1" thickBot="1">
      <c r="A49" s="22" t="s">
        <v>148</v>
      </c>
      <c r="B49" s="22" t="s">
        <v>149</v>
      </c>
      <c r="C49" s="23" t="s">
        <v>216</v>
      </c>
      <c r="D49" s="23" t="s">
        <v>221</v>
      </c>
      <c r="E49" s="252"/>
      <c r="F49" s="24"/>
      <c r="G49" s="259" t="s">
        <v>43</v>
      </c>
      <c r="H49" s="260"/>
      <c r="I49" s="260"/>
      <c r="J49" s="260"/>
      <c r="K49" s="261"/>
      <c r="L49" s="25"/>
      <c r="M49" s="259" t="s">
        <v>204</v>
      </c>
      <c r="N49" s="260"/>
      <c r="O49" s="260"/>
      <c r="P49" s="260"/>
      <c r="Q49" s="261"/>
      <c r="R49" s="25"/>
      <c r="S49" s="26" t="s">
        <v>153</v>
      </c>
      <c r="T49" s="27" t="s">
        <v>154</v>
      </c>
      <c r="U49" s="27" t="s">
        <v>222</v>
      </c>
      <c r="V49" s="27" t="s">
        <v>223</v>
      </c>
      <c r="W49" s="27" t="s">
        <v>155</v>
      </c>
      <c r="X49" s="27" t="s">
        <v>156</v>
      </c>
      <c r="Y49" s="27" t="s">
        <v>197</v>
      </c>
      <c r="Z49" s="27" t="s">
        <v>198</v>
      </c>
      <c r="AA49" s="27" t="s">
        <v>199</v>
      </c>
      <c r="AB49" s="27" t="s">
        <v>200</v>
      </c>
      <c r="AC49" s="27" t="s">
        <v>201</v>
      </c>
      <c r="AD49" s="27" t="s">
        <v>202</v>
      </c>
      <c r="AE49" s="27" t="s">
        <v>224</v>
      </c>
      <c r="AF49" s="27" t="s">
        <v>225</v>
      </c>
      <c r="AG49" s="27" t="s">
        <v>226</v>
      </c>
      <c r="AH49" s="27" t="s">
        <v>227</v>
      </c>
      <c r="AI49" s="27" t="s">
        <v>228</v>
      </c>
      <c r="AJ49" s="27" t="s">
        <v>229</v>
      </c>
      <c r="AK49" s="27" t="s">
        <v>760</v>
      </c>
      <c r="AL49" s="27" t="s">
        <v>231</v>
      </c>
      <c r="AM49" s="27" t="s">
        <v>761</v>
      </c>
      <c r="AN49" s="27" t="s">
        <v>762</v>
      </c>
      <c r="AO49" s="27" t="s">
        <v>234</v>
      </c>
      <c r="AP49" s="27" t="s">
        <v>235</v>
      </c>
      <c r="AQ49" s="27" t="s">
        <v>678</v>
      </c>
      <c r="AR49" s="27" t="s">
        <v>237</v>
      </c>
      <c r="AS49" s="27" t="s">
        <v>238</v>
      </c>
      <c r="AT49" s="28" t="s">
        <v>763</v>
      </c>
    </row>
    <row r="50" spans="1:46" s="21" customFormat="1" ht="30" hidden="1" customHeight="1" thickBot="1">
      <c r="A50" s="253" t="s">
        <v>152</v>
      </c>
      <c r="B50" s="254"/>
      <c r="C50" s="254"/>
      <c r="D50" s="254"/>
      <c r="E50" s="255"/>
      <c r="F50" s="24"/>
      <c r="G50" s="29" t="s">
        <v>96</v>
      </c>
      <c r="H50" s="30" t="s">
        <v>94</v>
      </c>
      <c r="I50" s="30" t="s">
        <v>98</v>
      </c>
      <c r="J50" s="30" t="s">
        <v>99</v>
      </c>
      <c r="K50" s="31" t="s">
        <v>100</v>
      </c>
      <c r="L50" s="25"/>
      <c r="M50" s="32" t="s">
        <v>96</v>
      </c>
      <c r="N50" s="33" t="s">
        <v>94</v>
      </c>
      <c r="O50" s="33" t="s">
        <v>98</v>
      </c>
      <c r="P50" s="33" t="s">
        <v>157</v>
      </c>
      <c r="Q50" s="34" t="s">
        <v>100</v>
      </c>
      <c r="R50" s="25"/>
      <c r="S50" s="35" t="s">
        <v>240</v>
      </c>
      <c r="T50" s="36" t="s">
        <v>241</v>
      </c>
      <c r="U50" s="36">
        <v>37500</v>
      </c>
      <c r="V50" s="37">
        <v>75</v>
      </c>
      <c r="W50" s="38">
        <v>1</v>
      </c>
      <c r="X50" s="37">
        <v>8</v>
      </c>
      <c r="Y50" s="38">
        <v>0</v>
      </c>
      <c r="Z50" s="38">
        <v>0</v>
      </c>
      <c r="AA50" s="36">
        <f>5328/D86</f>
        <v>5328</v>
      </c>
      <c r="AB50" s="36">
        <v>8</v>
      </c>
      <c r="AC50" s="36">
        <v>5328</v>
      </c>
      <c r="AD50" s="36">
        <v>4608</v>
      </c>
      <c r="AE50" s="39">
        <f>IF(OR(D85=2,D86=2),IF(D53=8,198,283.5),IF(D53=8,364.5,565.5))</f>
        <v>364.5</v>
      </c>
      <c r="AF50" s="40">
        <v>110</v>
      </c>
      <c r="AG50" s="39">
        <v>26</v>
      </c>
      <c r="AH50" s="39">
        <v>2460</v>
      </c>
      <c r="AI50" s="39"/>
      <c r="AJ50" s="36" t="s">
        <v>686</v>
      </c>
      <c r="AK50" s="37">
        <v>60000</v>
      </c>
      <c r="AL50" s="39">
        <v>5328</v>
      </c>
      <c r="AM50" s="39">
        <v>4608</v>
      </c>
      <c r="AN50" s="36">
        <v>12</v>
      </c>
      <c r="AO50" s="36">
        <v>312.5</v>
      </c>
      <c r="AP50" s="36">
        <v>0</v>
      </c>
      <c r="AQ50" s="36" t="s">
        <v>764</v>
      </c>
      <c r="AR50" s="36">
        <v>0</v>
      </c>
      <c r="AS50" s="36">
        <v>20</v>
      </c>
      <c r="AT50" s="36">
        <f>IF(OR(D85=2,D86=2),IF(D53=8,430,568),IF(D53=8,730,1132))</f>
        <v>730</v>
      </c>
    </row>
    <row r="51" spans="1:46" s="21" customFormat="1" ht="30" hidden="1" customHeight="1" thickBot="1">
      <c r="A51" s="32" t="s">
        <v>96</v>
      </c>
      <c r="B51" s="33" t="s">
        <v>94</v>
      </c>
      <c r="C51" s="33" t="s">
        <v>97</v>
      </c>
      <c r="D51" s="33" t="s">
        <v>95</v>
      </c>
      <c r="E51" s="41" t="s">
        <v>100</v>
      </c>
      <c r="F51" s="24"/>
      <c r="G51" s="42" t="s">
        <v>244</v>
      </c>
      <c r="H51" s="37" t="s">
        <v>50</v>
      </c>
      <c r="I51" s="37" t="s">
        <v>684</v>
      </c>
      <c r="J51" s="226">
        <f>IF(D56="Standard",ROUNDUP(1000000*P55/P52,0),ROUNDUP(1000000*P56/75294,0))</f>
        <v>5560</v>
      </c>
      <c r="K51" s="43" t="s">
        <v>104</v>
      </c>
      <c r="L51" s="25"/>
      <c r="M51" s="44" t="s">
        <v>49</v>
      </c>
      <c r="N51" s="45" t="s">
        <v>48</v>
      </c>
      <c r="O51" s="45" t="s">
        <v>205</v>
      </c>
      <c r="P51" s="46">
        <f>VLOOKUP($C$48,$S$50:$AQ$58,4,FALSE)</f>
        <v>75.293999999999997</v>
      </c>
      <c r="Q51" s="47" t="s">
        <v>147</v>
      </c>
      <c r="R51" s="25"/>
      <c r="S51" s="48" t="s">
        <v>245</v>
      </c>
      <c r="T51" s="49" t="s">
        <v>246</v>
      </c>
      <c r="U51" s="49">
        <v>37500</v>
      </c>
      <c r="V51" s="49">
        <v>75</v>
      </c>
      <c r="W51" s="50">
        <v>1</v>
      </c>
      <c r="X51" s="50">
        <v>8</v>
      </c>
      <c r="Y51" s="50">
        <v>4</v>
      </c>
      <c r="Z51" s="50">
        <v>4</v>
      </c>
      <c r="AA51" s="49">
        <f>4504/D86</f>
        <v>4504</v>
      </c>
      <c r="AB51" s="49">
        <v>8</v>
      </c>
      <c r="AC51" s="49">
        <v>4504</v>
      </c>
      <c r="AD51" s="49">
        <v>4504</v>
      </c>
      <c r="AE51" s="51">
        <f>IF(OR(D85=2,D86=2),IF(D53=8,214.5,239.25),IF(D53=8,313.5,478.5))</f>
        <v>313.5</v>
      </c>
      <c r="AF51" s="51">
        <v>124</v>
      </c>
      <c r="AG51" s="52">
        <v>30</v>
      </c>
      <c r="AH51" s="52">
        <v>2460</v>
      </c>
      <c r="AI51" s="51"/>
      <c r="AJ51" s="49" t="s">
        <v>686</v>
      </c>
      <c r="AK51" s="53">
        <v>60000</v>
      </c>
      <c r="AL51" s="51">
        <v>4504</v>
      </c>
      <c r="AM51" s="51">
        <v>4504</v>
      </c>
      <c r="AN51" s="53">
        <v>14</v>
      </c>
      <c r="AO51" s="53">
        <v>312.5</v>
      </c>
      <c r="AP51" s="53">
        <v>0</v>
      </c>
      <c r="AQ51" s="53" t="s">
        <v>243</v>
      </c>
      <c r="AR51" s="53">
        <v>0</v>
      </c>
      <c r="AS51" s="53">
        <v>20</v>
      </c>
      <c r="AT51" s="36">
        <f>IF(OR(D85=2,D86=2),IF(D53=8,430,480),IF(D53=8,628,958))</f>
        <v>628</v>
      </c>
    </row>
    <row r="52" spans="1:46" s="21" customFormat="1" ht="181.5" hidden="1" customHeight="1" thickBot="1">
      <c r="A52" s="259" t="s">
        <v>23</v>
      </c>
      <c r="B52" s="260"/>
      <c r="C52" s="260"/>
      <c r="D52" s="260"/>
      <c r="E52" s="261"/>
      <c r="F52" s="24"/>
      <c r="G52" s="54" t="s">
        <v>207</v>
      </c>
      <c r="H52" s="55" t="s">
        <v>42</v>
      </c>
      <c r="I52" s="56" t="s">
        <v>765</v>
      </c>
      <c r="J52" s="57">
        <f>IF(D56="Ultrashort",IF(D62=1,IF(D64="HighSpeed",ROUNDUP(MAX(J55,J56,J57),0),ROUNDUP(MAX(J55,J56,J57,P96),0)),ROUNDUP(MAX(J55,J56,J57,J58),0)),IF(D62=1,IF(D64="HighSpeed",IF(D55="TriggerWidth",ROUNDUP(MAX(J55,J77,J57)*J51/1000,0),ROUNDUP(MAX(J55,J56,J57)*J51/1000,0)),IF(D55="TriggerWidth",ROUNDUP(MAX(J55,J77,J57,P96)*J51/1000,0),ROUNDUP(MAX(J55,J56,J57,P96)*J51/1000,0))),ROUNDUP(MAX(J55,J56,J57,J58)*J51/1000,0)))</f>
        <v>17843</v>
      </c>
      <c r="K52" s="54" t="s">
        <v>110</v>
      </c>
      <c r="M52" s="58" t="s">
        <v>766</v>
      </c>
      <c r="N52" s="59" t="s">
        <v>767</v>
      </c>
      <c r="O52" s="59" t="s">
        <v>768</v>
      </c>
      <c r="P52" s="60">
        <f>VLOOKUP($C$48,$S$50:$AS$58,3,FALSE)</f>
        <v>37647</v>
      </c>
      <c r="Q52" s="47" t="s">
        <v>769</v>
      </c>
      <c r="S52" s="48" t="s">
        <v>770</v>
      </c>
      <c r="T52" s="49" t="s">
        <v>253</v>
      </c>
      <c r="U52" s="226">
        <v>37647</v>
      </c>
      <c r="V52" s="226">
        <v>75.293999999999997</v>
      </c>
      <c r="W52" s="50">
        <v>1</v>
      </c>
      <c r="X52" s="50">
        <v>8</v>
      </c>
      <c r="Y52" s="50">
        <v>0</v>
      </c>
      <c r="Z52" s="50">
        <v>0</v>
      </c>
      <c r="AA52" s="49">
        <f>5328/D86</f>
        <v>5328</v>
      </c>
      <c r="AB52" s="49">
        <v>8</v>
      </c>
      <c r="AC52" s="49">
        <v>5328</v>
      </c>
      <c r="AD52" s="49">
        <v>3040</v>
      </c>
      <c r="AE52" s="227">
        <f>IF(OR(D85=2,D86=2),IF(D53=8,215.3,IF(D53="rgb888",623.4,415.6)),IF(D53=8,415.6,IF(D53="rgb888",1245.4,829.7)))</f>
        <v>415.6</v>
      </c>
      <c r="AF52" s="51">
        <v>110</v>
      </c>
      <c r="AG52" s="52">
        <v>26</v>
      </c>
      <c r="AH52" s="39">
        <v>2460</v>
      </c>
      <c r="AI52" s="51"/>
      <c r="AJ52" s="36" t="s">
        <v>158</v>
      </c>
      <c r="AK52" s="37">
        <v>50000</v>
      </c>
      <c r="AL52" s="51">
        <v>5328</v>
      </c>
      <c r="AM52" s="51">
        <v>3040</v>
      </c>
      <c r="AN52" s="53">
        <v>18</v>
      </c>
      <c r="AO52" s="36">
        <v>312.5</v>
      </c>
      <c r="AP52" s="36">
        <v>0</v>
      </c>
      <c r="AQ52" s="36" t="s">
        <v>216</v>
      </c>
      <c r="AR52" s="36">
        <v>0</v>
      </c>
      <c r="AS52" s="36">
        <v>20</v>
      </c>
      <c r="AT52" s="226">
        <f>IF(OR(D85=2,D86=2),IF(D53=8,428,IF(D53="rgb888",1244,828)),IF(D53=8,828,IF(D53="rgb888",2488,1656)))</f>
        <v>828</v>
      </c>
    </row>
    <row r="53" spans="1:46" s="21" customFormat="1" ht="30" hidden="1" customHeight="1" thickBot="1">
      <c r="A53" s="61" t="s">
        <v>206</v>
      </c>
      <c r="B53" s="62" t="s">
        <v>23</v>
      </c>
      <c r="C53" s="62">
        <v>8</v>
      </c>
      <c r="D53" s="63">
        <f>C12</f>
        <v>8</v>
      </c>
      <c r="E53" s="64" t="s">
        <v>142</v>
      </c>
      <c r="F53" s="24"/>
      <c r="G53" s="65" t="s">
        <v>208</v>
      </c>
      <c r="H53" s="66" t="s">
        <v>43</v>
      </c>
      <c r="I53" s="67" t="s">
        <v>209</v>
      </c>
      <c r="J53" s="68">
        <f>1000000/J52</f>
        <v>56.044387154626463</v>
      </c>
      <c r="K53" s="65" t="s">
        <v>113</v>
      </c>
      <c r="M53" s="58" t="s">
        <v>771</v>
      </c>
      <c r="N53" s="69" t="s">
        <v>255</v>
      </c>
      <c r="O53" s="69" t="s">
        <v>772</v>
      </c>
      <c r="P53" s="70">
        <f>VLOOKUP($C$48,$S$50:$AS$58,7,FALSE)</f>
        <v>12</v>
      </c>
      <c r="Q53" s="71" t="s">
        <v>159</v>
      </c>
      <c r="S53" s="72" t="s">
        <v>257</v>
      </c>
      <c r="T53" s="73" t="s">
        <v>258</v>
      </c>
      <c r="U53" s="228">
        <v>37647</v>
      </c>
      <c r="V53" s="228">
        <v>75.293999999999997</v>
      </c>
      <c r="W53" s="74">
        <v>1</v>
      </c>
      <c r="X53" s="74">
        <v>8</v>
      </c>
      <c r="Y53" s="74">
        <v>16</v>
      </c>
      <c r="Z53" s="74">
        <v>4</v>
      </c>
      <c r="AA53" s="229">
        <f>4096/D86/D92</f>
        <v>4096</v>
      </c>
      <c r="AB53" s="73">
        <v>8</v>
      </c>
      <c r="AC53" s="73">
        <v>4096</v>
      </c>
      <c r="AD53" s="73">
        <v>3000</v>
      </c>
      <c r="AE53" s="230">
        <f>IF(OR(D85=2,D86=2),IF(D53=8,209.31732,IF(OR(D53="RGB8",D53="BGR8"),478.86984,319.24656)),IF(AND(D91=1,D92=1),IF(D53=8,319.24656,IF(OR(D53="RGB8",D53="BGR8"),957.73968,638.49312)),IF(D53=8,159.62328,319.24656)))</f>
        <v>319.24655999999999</v>
      </c>
      <c r="AF53" s="75">
        <v>128</v>
      </c>
      <c r="AG53" s="75">
        <v>62</v>
      </c>
      <c r="AH53" s="75">
        <v>2470</v>
      </c>
      <c r="AI53" s="75"/>
      <c r="AJ53" s="36" t="s">
        <v>158</v>
      </c>
      <c r="AK53" s="73">
        <v>40000</v>
      </c>
      <c r="AL53" s="75">
        <v>4096</v>
      </c>
      <c r="AM53" s="75">
        <v>3000</v>
      </c>
      <c r="AN53" s="73">
        <v>23</v>
      </c>
      <c r="AO53" s="73">
        <v>312.5</v>
      </c>
      <c r="AP53" s="73">
        <v>0</v>
      </c>
      <c r="AQ53" s="36" t="s">
        <v>216</v>
      </c>
      <c r="AR53" s="73">
        <v>0</v>
      </c>
      <c r="AS53" s="73">
        <v>20</v>
      </c>
      <c r="AT53" s="231">
        <f>IF(OR(D85=2,D86=2),IF(D53=8,416,IF(OR(D53="RGB8",D53="BGR8"),954,636)),IF(AND(D91=1,D92=1),IF(D53=8,636,IF(OR(D53="RGB8",D53="BGR8"),1912,1274)),IF(D53=8,316,636)))</f>
        <v>636</v>
      </c>
    </row>
    <row r="54" spans="1:46" s="21" customFormat="1" ht="30" hidden="1" customHeight="1" thickBot="1">
      <c r="A54" s="259" t="s">
        <v>19</v>
      </c>
      <c r="B54" s="260"/>
      <c r="C54" s="260"/>
      <c r="D54" s="260"/>
      <c r="E54" s="261"/>
      <c r="F54" s="24"/>
      <c r="G54" s="259" t="s">
        <v>121</v>
      </c>
      <c r="H54" s="260"/>
      <c r="I54" s="260"/>
      <c r="J54" s="260"/>
      <c r="K54" s="261"/>
      <c r="M54" s="58" t="s">
        <v>259</v>
      </c>
      <c r="N54" s="69" t="s">
        <v>255</v>
      </c>
      <c r="O54" s="69" t="s">
        <v>256</v>
      </c>
      <c r="P54" s="70">
        <f>VLOOKUP($C$48,$S$50:$AS$58,8,FALSE)</f>
        <v>8</v>
      </c>
      <c r="Q54" s="76" t="s">
        <v>773</v>
      </c>
      <c r="S54" s="72" t="s">
        <v>261</v>
      </c>
      <c r="T54" s="73" t="s">
        <v>774</v>
      </c>
      <c r="U54" s="228">
        <v>37647</v>
      </c>
      <c r="V54" s="228">
        <v>75.293999999999997</v>
      </c>
      <c r="W54" s="74">
        <v>1</v>
      </c>
      <c r="X54" s="74">
        <v>8</v>
      </c>
      <c r="Y54" s="74">
        <v>12</v>
      </c>
      <c r="Z54" s="74">
        <v>8</v>
      </c>
      <c r="AA54" s="229">
        <f>2448/D86/D92</f>
        <v>2448</v>
      </c>
      <c r="AB54" s="73">
        <v>8</v>
      </c>
      <c r="AC54" s="73">
        <v>2448</v>
      </c>
      <c r="AD54" s="73">
        <v>2048</v>
      </c>
      <c r="AE54" s="230">
        <f>IF(OR(D85=2,D86=2),IF(D53=10,191.24676,IF(OR(D53="RGB8",D53="BGR8"),286.1172,209.31732)),IF(AND(D91=1,D92=1),IF(D53=8,209.31732,IF(OR(D53="RGB8",D53="BGR8"),572.2344,382.49352)),IF(D53=8,108.42336,191.24676)))</f>
        <v>209.31732</v>
      </c>
      <c r="AF54" s="75">
        <v>168</v>
      </c>
      <c r="AG54" s="75">
        <v>86</v>
      </c>
      <c r="AH54" s="75">
        <v>2470</v>
      </c>
      <c r="AI54" s="75"/>
      <c r="AJ54" s="36" t="s">
        <v>158</v>
      </c>
      <c r="AK54" s="73">
        <v>10000</v>
      </c>
      <c r="AL54" s="75">
        <f>IF(OR(D85=2,D91=2),1224,2448)</f>
        <v>2448</v>
      </c>
      <c r="AM54" s="75">
        <f>IF(OR(D86=2,D92=2),1024,2048)</f>
        <v>2048</v>
      </c>
      <c r="AN54" s="73">
        <v>56</v>
      </c>
      <c r="AO54" s="73">
        <v>312.5</v>
      </c>
      <c r="AP54" s="73">
        <v>0</v>
      </c>
      <c r="AQ54" s="36" t="s">
        <v>216</v>
      </c>
      <c r="AR54" s="73">
        <v>0</v>
      </c>
      <c r="AS54" s="73">
        <v>20</v>
      </c>
      <c r="AT54" s="231">
        <f>IF(OR(D85=2,D86=2),IF(D53=10,380,IF(OR(D53="RGB8",D53="BGR8"),570,416)),IF(AND(D91=1,D92=1),IF(D53=8,416,IF(OR(D53="RGB8",D53="BGR8"),1142,762)),IF(D53=8,214,380)))</f>
        <v>416</v>
      </c>
    </row>
    <row r="55" spans="1:46" s="21" customFormat="1" ht="30" hidden="1" customHeight="1" thickBot="1">
      <c r="A55" s="44" t="s">
        <v>775</v>
      </c>
      <c r="B55" s="45" t="s">
        <v>264</v>
      </c>
      <c r="C55" s="45" t="s">
        <v>160</v>
      </c>
      <c r="D55" s="77" t="s">
        <v>160</v>
      </c>
      <c r="E55" s="78"/>
      <c r="F55" s="24"/>
      <c r="G55" s="43" t="s">
        <v>124</v>
      </c>
      <c r="H55" s="79" t="s">
        <v>125</v>
      </c>
      <c r="I55" s="80" t="s">
        <v>265</v>
      </c>
      <c r="J55" s="201">
        <f>IF(D56="Ultrashort",ROUNDUP((D71+P57)*J51/1000,0)+10,D71+P57)</f>
        <v>2216</v>
      </c>
      <c r="K55" s="82" t="str">
        <f>IF(D56="Ultrashort","us","line")</f>
        <v>line</v>
      </c>
      <c r="M55" s="58" t="s">
        <v>266</v>
      </c>
      <c r="N55" s="69" t="s">
        <v>267</v>
      </c>
      <c r="O55" s="69" t="s">
        <v>772</v>
      </c>
      <c r="P55" s="70">
        <f>VLOOKUP($C$48,$S$50:$AS$58,13,FALSE)</f>
        <v>209.31732</v>
      </c>
      <c r="Q55" s="76" t="s">
        <v>776</v>
      </c>
      <c r="S55" s="232" t="s">
        <v>777</v>
      </c>
      <c r="T55" s="233" t="s">
        <v>270</v>
      </c>
      <c r="U55" s="234">
        <v>37647</v>
      </c>
      <c r="V55" s="234">
        <v>75.293999999999997</v>
      </c>
      <c r="W55" s="235">
        <v>1</v>
      </c>
      <c r="X55" s="235">
        <v>8</v>
      </c>
      <c r="Y55" s="235">
        <v>8</v>
      </c>
      <c r="Z55" s="235">
        <v>4</v>
      </c>
      <c r="AA55" s="236">
        <f>2840/D86/D92</f>
        <v>2840</v>
      </c>
      <c r="AB55" s="233">
        <v>8</v>
      </c>
      <c r="AC55" s="233">
        <v>2840</v>
      </c>
      <c r="AD55" s="233">
        <v>2840</v>
      </c>
      <c r="AE55" s="237">
        <f>IF(OR(D85=2,D86=2),IF(D53=8,209.31732,IF(D53="rgb888",332.79948,221.36436)),IF(AND(D91=1,D92=1),IF(D53=8,221.36436,IF(D53="rgb888",664.09308,442.72872)),IF(D53=8,120.4704,221.36436)))</f>
        <v>221.36436</v>
      </c>
      <c r="AF55" s="238">
        <v>160</v>
      </c>
      <c r="AG55" s="238">
        <v>82</v>
      </c>
      <c r="AH55" s="238">
        <v>2470</v>
      </c>
      <c r="AI55" s="238"/>
      <c r="AJ55" s="153" t="s">
        <v>158</v>
      </c>
      <c r="AK55" s="233">
        <v>20000</v>
      </c>
      <c r="AL55" s="238">
        <v>2840</v>
      </c>
      <c r="AM55" s="238">
        <v>2840</v>
      </c>
      <c r="AN55" s="233">
        <v>35</v>
      </c>
      <c r="AO55" s="233">
        <v>312.5</v>
      </c>
      <c r="AP55" s="233">
        <v>0</v>
      </c>
      <c r="AQ55" s="153" t="s">
        <v>216</v>
      </c>
      <c r="AR55" s="233">
        <v>0</v>
      </c>
      <c r="AS55" s="233">
        <v>20</v>
      </c>
      <c r="AT55" s="239">
        <f>IF(OR(D85=2,D86=2),IF(D53=8,416,IF(D53="rgb888",662,440)),IF(AND(D91=1,D92=1),IF(D53=8,440,IF(D53="rgb888",1326,882)),IF(D53=8,238,440)))</f>
        <v>440</v>
      </c>
    </row>
    <row r="56" spans="1:46" s="21" customFormat="1" ht="84" hidden="1" customHeight="1" thickBot="1">
      <c r="A56" s="44" t="s">
        <v>271</v>
      </c>
      <c r="B56" s="45" t="s">
        <v>272</v>
      </c>
      <c r="C56" s="45" t="s">
        <v>273</v>
      </c>
      <c r="D56" s="77" t="s">
        <v>161</v>
      </c>
      <c r="E56" s="78"/>
      <c r="F56" s="24"/>
      <c r="G56" s="54" t="s">
        <v>128</v>
      </c>
      <c r="H56" s="55" t="s">
        <v>129</v>
      </c>
      <c r="I56" s="53" t="s">
        <v>778</v>
      </c>
      <c r="J56" s="83">
        <f>IF(D56="Ultrashort",J81,J83+IF(D75=0,0,ROUNDUP(P62*1000/J51,0)))</f>
        <v>1885</v>
      </c>
      <c r="K56" s="82" t="str">
        <f>IF(D56="Ultrashort","us","line")</f>
        <v>line</v>
      </c>
      <c r="M56" s="58" t="s">
        <v>275</v>
      </c>
      <c r="N56" s="69" t="s">
        <v>779</v>
      </c>
      <c r="O56" s="69" t="s">
        <v>256</v>
      </c>
      <c r="P56" s="70">
        <f>VLOOKUP($C$48,$S$50:$AT$58,28,FALSE)</f>
        <v>416</v>
      </c>
      <c r="Q56" s="76" t="s">
        <v>776</v>
      </c>
      <c r="S56" s="240" t="s">
        <v>486</v>
      </c>
      <c r="T56" s="240" t="s">
        <v>487</v>
      </c>
      <c r="U56" s="240">
        <v>37647</v>
      </c>
      <c r="V56" s="240">
        <v>75.293999999999997</v>
      </c>
      <c r="W56" s="240">
        <v>1</v>
      </c>
      <c r="X56" s="240">
        <v>8</v>
      </c>
      <c r="Y56" s="240">
        <v>0</v>
      </c>
      <c r="Z56" s="240">
        <v>0</v>
      </c>
      <c r="AA56" s="240">
        <f>IF(OR(D85=2,D86=2,D91=2,D92=2),1424,2856)</f>
        <v>2856</v>
      </c>
      <c r="AB56" s="240">
        <v>16</v>
      </c>
      <c r="AC56" s="240">
        <f>IF(OR(D85=2,D86=2,D91=2,D92=2),1424,2856)</f>
        <v>2856</v>
      </c>
      <c r="AD56" s="240">
        <f>IF(OR(D85=2,D86=2,D91=2,D92=2),1424,2848)</f>
        <v>2848</v>
      </c>
      <c r="AE56" s="240">
        <f>IF(OR(D85=2,D86=2),IF(D53=8,120.4707,222.1173),IF(AND(D91=1,D92=1),IF(D53=8,222.87024,444.98754),IF(D53=8,120.4704,222.87024)))</f>
        <v>222.87024</v>
      </c>
      <c r="AF56" s="240">
        <v>184</v>
      </c>
      <c r="AG56" s="240">
        <v>90</v>
      </c>
      <c r="AH56" s="240">
        <v>2470</v>
      </c>
      <c r="AI56" s="240"/>
      <c r="AJ56" s="240" t="s">
        <v>780</v>
      </c>
      <c r="AK56" s="240">
        <v>20000</v>
      </c>
      <c r="AL56" s="240">
        <f>IF(OR(D85=2,D86=2,D88=2,D91=2,D92=2),1424,2856)</f>
        <v>2856</v>
      </c>
      <c r="AM56" s="240">
        <f>IF(OR(D85=2,D86=2,D89=2,D91=2,D92=2),1424,2848)</f>
        <v>2848</v>
      </c>
      <c r="AN56" s="240">
        <v>35</v>
      </c>
      <c r="AO56" s="240">
        <v>312.5</v>
      </c>
      <c r="AP56" s="240">
        <v>0</v>
      </c>
      <c r="AQ56" s="240" t="s">
        <v>243</v>
      </c>
      <c r="AR56" s="240">
        <v>0</v>
      </c>
      <c r="AS56" s="240">
        <v>20</v>
      </c>
      <c r="AT56" s="240">
        <f>IF(OR(D85=2,D86=2),IF(D53=8,242,446),IF(AND(D91=1,D92=1),IF(D53=8,446,890),IF(D53=8,242,446)))</f>
        <v>446</v>
      </c>
    </row>
    <row r="57" spans="1:46" s="21" customFormat="1" ht="112.5" hidden="1" customHeight="1">
      <c r="A57" s="44" t="s">
        <v>781</v>
      </c>
      <c r="B57" s="45" t="s">
        <v>278</v>
      </c>
      <c r="C57" s="45">
        <f>VLOOKUP($C$48,$S$50:$AQ$58,19,FALSE)</f>
        <v>10000</v>
      </c>
      <c r="D57" s="85">
        <f>C10</f>
        <v>10000</v>
      </c>
      <c r="E57" s="78" t="s">
        <v>110</v>
      </c>
      <c r="F57" s="24"/>
      <c r="G57" s="58" t="s">
        <v>132</v>
      </c>
      <c r="H57" s="69" t="s">
        <v>133</v>
      </c>
      <c r="I57" s="49" t="s">
        <v>279</v>
      </c>
      <c r="J57" s="83">
        <f>IF(D56="Ultrashort",ROUNDUP(((1000000/D83))*D82,0),ROUNDUP(((1000000000/D83)/J51)*D82,0))</f>
        <v>0</v>
      </c>
      <c r="K57" s="82" t="str">
        <f>IF(D56="Ultrashort","us","line")</f>
        <v>line</v>
      </c>
      <c r="M57" s="58" t="s">
        <v>280</v>
      </c>
      <c r="N57" s="69" t="s">
        <v>782</v>
      </c>
      <c r="O57" s="69" t="s">
        <v>772</v>
      </c>
      <c r="P57" s="70">
        <f>VLOOKUP($C$48,$S$50:$AS$58,14,FALSE)</f>
        <v>168</v>
      </c>
      <c r="Q57" s="71" t="s">
        <v>107</v>
      </c>
      <c r="S57" s="84"/>
      <c r="T57" s="84"/>
      <c r="U57" s="84"/>
      <c r="V57" s="84"/>
      <c r="W57" s="84"/>
      <c r="X57" s="84"/>
      <c r="Y57" s="86"/>
      <c r="Z57" s="84"/>
    </row>
    <row r="58" spans="1:46" s="21" customFormat="1" ht="60" hidden="1" customHeight="1" thickBot="1">
      <c r="A58" s="87" t="s">
        <v>178</v>
      </c>
      <c r="B58" s="59" t="s">
        <v>21</v>
      </c>
      <c r="C58" s="45">
        <v>0</v>
      </c>
      <c r="D58" s="88">
        <f>C11</f>
        <v>0</v>
      </c>
      <c r="E58" s="89" t="s">
        <v>110</v>
      </c>
      <c r="F58" s="24"/>
      <c r="G58" s="87" t="s">
        <v>134</v>
      </c>
      <c r="H58" s="90" t="s">
        <v>90</v>
      </c>
      <c r="I58" s="1" t="s">
        <v>783</v>
      </c>
      <c r="J58" s="91">
        <f>IF(D56="Ultrashort",IF(D62=0,P94,IF(D64="Standard",P96,0)),IF(D62=0,ROUNDUP(P94*1000/J51,0),IF(D64="Standard",ROUNDUP(P96,0),0)))</f>
        <v>3209</v>
      </c>
      <c r="K58" s="82" t="str">
        <f>IF(D56="Ultrashort","us","line")</f>
        <v>line</v>
      </c>
      <c r="M58" s="58" t="s">
        <v>283</v>
      </c>
      <c r="N58" s="69" t="s">
        <v>784</v>
      </c>
      <c r="O58" s="69" t="s">
        <v>772</v>
      </c>
      <c r="P58" s="70">
        <f>VLOOKUP($C$48,$S$50:$AS$58,15,FALSE)</f>
        <v>86</v>
      </c>
      <c r="Q58" s="71" t="s">
        <v>107</v>
      </c>
      <c r="S58" s="84"/>
      <c r="T58" s="84"/>
      <c r="U58" s="84"/>
      <c r="V58" s="84"/>
      <c r="W58" s="84"/>
      <c r="X58" s="84"/>
      <c r="Y58" s="86"/>
      <c r="Z58" s="84"/>
    </row>
    <row r="59" spans="1:46" s="21" customFormat="1" ht="87.75" hidden="1" customHeight="1" thickBot="1">
      <c r="A59" s="92" t="s">
        <v>785</v>
      </c>
      <c r="B59" s="93" t="str">
        <f>"交叠曝光时间 
范围:0"&amp;"-"&amp;ROUNDUP(((J55-P58)*J51/1000),0)</f>
        <v>交叠曝光时间 
范围:0-11843</v>
      </c>
      <c r="C59" s="79">
        <f>ROUNDUP((J55-P58)*J51/1000,0)</f>
        <v>11843</v>
      </c>
      <c r="D59" s="94">
        <v>11843</v>
      </c>
      <c r="E59" s="89" t="s">
        <v>286</v>
      </c>
      <c r="F59" s="24"/>
      <c r="G59" s="259" t="s">
        <v>162</v>
      </c>
      <c r="H59" s="260"/>
      <c r="I59" s="260"/>
      <c r="J59" s="260"/>
      <c r="K59" s="261"/>
      <c r="M59" s="58" t="s">
        <v>786</v>
      </c>
      <c r="N59" s="69" t="s">
        <v>787</v>
      </c>
      <c r="O59" s="69" t="s">
        <v>205</v>
      </c>
      <c r="P59" s="70">
        <f>VLOOKUP($C$48,$S$50:$AS$58,16,FALSE)</f>
        <v>2470</v>
      </c>
      <c r="Q59" s="95" t="s">
        <v>788</v>
      </c>
      <c r="S59" s="84"/>
      <c r="T59" s="96"/>
      <c r="U59" s="84"/>
      <c r="V59" s="84"/>
      <c r="W59" s="84"/>
      <c r="X59" s="84"/>
      <c r="Y59" s="86"/>
      <c r="Z59" s="84"/>
    </row>
    <row r="60" spans="1:46" s="21" customFormat="1" ht="87.75" hidden="1" customHeight="1" thickBot="1">
      <c r="A60" s="97" t="s">
        <v>789</v>
      </c>
      <c r="B60" s="98" t="s">
        <v>291</v>
      </c>
      <c r="C60" s="90" t="s">
        <v>292</v>
      </c>
      <c r="D60" s="99">
        <v>0</v>
      </c>
      <c r="E60" s="89" t="s">
        <v>790</v>
      </c>
      <c r="F60" s="24"/>
      <c r="G60" s="100" t="s">
        <v>293</v>
      </c>
      <c r="H60" s="101" t="s">
        <v>294</v>
      </c>
      <c r="I60" s="101" t="s">
        <v>295</v>
      </c>
      <c r="J60" s="81">
        <f>IF(D56="Ultrashort",IF(D57&gt;P59/1000,ROUNDUP((D57*1000-P59)/1000,0),1),MAX(ROUNDUP((D57*1000-P59)/J51,0),1))</f>
        <v>1799</v>
      </c>
      <c r="K60" s="82" t="str">
        <f>IF(D56="Ultrashort","us","line")</f>
        <v>line</v>
      </c>
      <c r="M60" s="58" t="s">
        <v>791</v>
      </c>
      <c r="N60" s="69" t="s">
        <v>297</v>
      </c>
      <c r="O60" s="69" t="s">
        <v>205</v>
      </c>
      <c r="P60" s="70">
        <f>VLOOKUP($C$48,$S$50:$AS$58,27,FALSE)</f>
        <v>20</v>
      </c>
      <c r="Q60" s="71" t="s">
        <v>286</v>
      </c>
      <c r="S60" s="84"/>
      <c r="T60" s="84"/>
      <c r="U60" s="84"/>
      <c r="V60" s="84"/>
      <c r="W60" s="84"/>
      <c r="X60" s="84"/>
      <c r="Y60" s="86"/>
      <c r="Z60" s="84"/>
    </row>
    <row r="61" spans="1:46" s="21" customFormat="1" ht="87.75" hidden="1" customHeight="1">
      <c r="A61" s="265" t="s">
        <v>298</v>
      </c>
      <c r="B61" s="266"/>
      <c r="C61" s="266"/>
      <c r="D61" s="266"/>
      <c r="E61" s="267"/>
      <c r="F61" s="24"/>
      <c r="G61" s="100" t="s">
        <v>792</v>
      </c>
      <c r="H61" s="101" t="s">
        <v>300</v>
      </c>
      <c r="I61" s="101" t="s">
        <v>793</v>
      </c>
      <c r="J61" s="203">
        <f>IF(AND(D57&gt;P59/1000,D57&lt;=P60,AND(D85=1,D86=1),AND(D91=1,D92=1)),ROUNDUP((1000*D57-P59)/1000,0),0)</f>
        <v>0</v>
      </c>
      <c r="K61" s="102" t="s">
        <v>286</v>
      </c>
      <c r="M61" s="58" t="s">
        <v>302</v>
      </c>
      <c r="N61" s="69"/>
      <c r="O61" s="69" t="s">
        <v>205</v>
      </c>
      <c r="P61" s="70">
        <f>VLOOKUP($C$48,$S$50:$AS$58,17,FALSE)</f>
        <v>0</v>
      </c>
      <c r="Q61" s="71"/>
      <c r="S61" s="84"/>
      <c r="T61" s="84"/>
      <c r="U61" s="84"/>
      <c r="V61" s="84"/>
      <c r="W61" s="84"/>
      <c r="X61" s="84"/>
      <c r="Y61" s="86"/>
      <c r="Z61" s="84"/>
    </row>
    <row r="62" spans="1:46" s="21" customFormat="1" ht="109.5" hidden="1" customHeight="1">
      <c r="A62" s="69" t="s">
        <v>794</v>
      </c>
      <c r="B62" s="69" t="s">
        <v>795</v>
      </c>
      <c r="C62" s="69">
        <v>0</v>
      </c>
      <c r="D62" s="103">
        <f>C21</f>
        <v>0</v>
      </c>
      <c r="E62" s="104"/>
      <c r="F62" s="24"/>
      <c r="G62" s="105" t="s">
        <v>304</v>
      </c>
      <c r="H62" s="106" t="s">
        <v>305</v>
      </c>
      <c r="I62" s="106" t="s">
        <v>796</v>
      </c>
      <c r="J62" s="57">
        <f>IF(D56="Ultrashort",D58,ROUNDUP((D58*1000)/J51,0))</f>
        <v>0</v>
      </c>
      <c r="K62" s="82" t="str">
        <f>IF(D56="Ultrashort","us","line")</f>
        <v>line</v>
      </c>
      <c r="M62" s="58" t="s">
        <v>307</v>
      </c>
      <c r="N62" s="69" t="s">
        <v>308</v>
      </c>
      <c r="O62" s="69" t="s">
        <v>205</v>
      </c>
      <c r="P62" s="70">
        <f>VLOOKUP($C$48,$S$50:$AS$58,26,FALSE)</f>
        <v>0</v>
      </c>
      <c r="Q62" s="71" t="s">
        <v>110</v>
      </c>
      <c r="S62" s="84"/>
      <c r="T62" s="84"/>
      <c r="U62" s="84"/>
      <c r="V62" s="84"/>
      <c r="W62" s="84"/>
      <c r="X62" s="84"/>
      <c r="Y62" s="86"/>
      <c r="Z62" s="84"/>
    </row>
    <row r="63" spans="1:46" s="21" customFormat="1" ht="111" hidden="1" customHeight="1" thickBot="1">
      <c r="A63" s="61" t="s">
        <v>797</v>
      </c>
      <c r="B63" s="62" t="s">
        <v>579</v>
      </c>
      <c r="C63" s="62">
        <v>0</v>
      </c>
      <c r="D63" s="107">
        <v>0</v>
      </c>
      <c r="E63" s="64"/>
      <c r="F63" s="24"/>
      <c r="G63" s="105" t="s">
        <v>310</v>
      </c>
      <c r="H63" s="106" t="s">
        <v>311</v>
      </c>
      <c r="I63" s="101" t="s">
        <v>488</v>
      </c>
      <c r="J63" s="108">
        <f>IF(D56="Ultrashort",200,IF((D57+4*J51/1000)&gt;100,(D57+4*J51/1000),100))</f>
        <v>10022.24</v>
      </c>
      <c r="K63" s="4" t="s">
        <v>286</v>
      </c>
      <c r="M63" s="109" t="s">
        <v>312</v>
      </c>
      <c r="N63" s="110" t="s">
        <v>798</v>
      </c>
      <c r="O63" s="110" t="s">
        <v>205</v>
      </c>
      <c r="P63" s="111">
        <f>VLOOKUP($C$48,$S$50:$AS$58,24,FALSE)</f>
        <v>0</v>
      </c>
      <c r="Q63" s="47" t="s">
        <v>107</v>
      </c>
      <c r="S63" s="84"/>
      <c r="T63" s="84"/>
      <c r="U63" s="84"/>
      <c r="V63" s="84"/>
      <c r="W63" s="84"/>
      <c r="X63" s="84"/>
      <c r="Y63" s="86"/>
      <c r="Z63" s="84"/>
    </row>
    <row r="64" spans="1:46" s="21" customFormat="1" ht="111" hidden="1" customHeight="1" thickBot="1">
      <c r="A64" s="69" t="s">
        <v>799</v>
      </c>
      <c r="B64" s="69" t="s">
        <v>163</v>
      </c>
      <c r="C64" s="112" t="s">
        <v>273</v>
      </c>
      <c r="D64" s="103" t="s">
        <v>161</v>
      </c>
      <c r="E64" s="113"/>
      <c r="F64" s="24"/>
      <c r="G64" s="114" t="s">
        <v>315</v>
      </c>
      <c r="H64" s="106" t="s">
        <v>800</v>
      </c>
      <c r="I64" s="106" t="s">
        <v>317</v>
      </c>
      <c r="J64" s="241">
        <f>IF(D56="Ultrashort",ROUNDUP((D71+11+P61)*J51/1000,0),D71+11+P61)</f>
        <v>2059</v>
      </c>
      <c r="K64" s="82" t="str">
        <f>IF(D56="Ultrashort","us","line")</f>
        <v>line</v>
      </c>
      <c r="M64" s="262" t="s">
        <v>177</v>
      </c>
      <c r="N64" s="263"/>
      <c r="O64" s="263"/>
      <c r="P64" s="263"/>
      <c r="Q64" s="268"/>
      <c r="S64" s="84"/>
      <c r="T64" s="84"/>
      <c r="U64" s="84"/>
      <c r="V64" s="84"/>
      <c r="W64" s="84"/>
      <c r="X64" s="84"/>
      <c r="Y64" s="115"/>
      <c r="Z64" s="115"/>
    </row>
    <row r="65" spans="1:26" s="21" customFormat="1" ht="60.75" hidden="1" customHeight="1" thickBot="1">
      <c r="A65" s="248" t="s">
        <v>164</v>
      </c>
      <c r="B65" s="249"/>
      <c r="C65" s="249"/>
      <c r="D65" s="249"/>
      <c r="E65" s="268"/>
      <c r="F65" s="24"/>
      <c r="G65" s="262" t="s">
        <v>73</v>
      </c>
      <c r="H65" s="263"/>
      <c r="I65" s="263"/>
      <c r="J65" s="263"/>
      <c r="K65" s="268"/>
      <c r="M65" s="32" t="s">
        <v>96</v>
      </c>
      <c r="N65" s="33" t="s">
        <v>94</v>
      </c>
      <c r="O65" s="33" t="s">
        <v>98</v>
      </c>
      <c r="P65" s="33" t="s">
        <v>157</v>
      </c>
      <c r="Q65" s="34" t="s">
        <v>100</v>
      </c>
      <c r="S65" s="84"/>
      <c r="T65" s="116"/>
      <c r="U65" s="116"/>
      <c r="V65" s="116"/>
      <c r="W65" s="116"/>
      <c r="X65" s="116"/>
      <c r="Y65" s="117"/>
      <c r="Z65" s="117"/>
    </row>
    <row r="66" spans="1:26" s="21" customFormat="1" ht="30" hidden="1" customHeight="1" thickBot="1">
      <c r="A66" s="61" t="s">
        <v>210</v>
      </c>
      <c r="B66" s="62" t="s">
        <v>119</v>
      </c>
      <c r="C66" s="62">
        <v>0</v>
      </c>
      <c r="D66" s="63">
        <v>0</v>
      </c>
      <c r="E66" s="64" t="s">
        <v>110</v>
      </c>
      <c r="F66" s="24"/>
      <c r="G66" s="118" t="s">
        <v>84</v>
      </c>
      <c r="H66" s="119" t="s">
        <v>166</v>
      </c>
      <c r="I66" s="119" t="s">
        <v>167</v>
      </c>
      <c r="J66" s="120">
        <f>J53*P83</f>
        <v>280978759.17726839</v>
      </c>
      <c r="K66" s="121" t="s">
        <v>168</v>
      </c>
      <c r="M66" s="44" t="s">
        <v>74</v>
      </c>
      <c r="N66" s="45" t="s">
        <v>101</v>
      </c>
      <c r="O66" s="45" t="s">
        <v>102</v>
      </c>
      <c r="P66" s="46">
        <v>7</v>
      </c>
      <c r="Q66" s="47" t="s">
        <v>103</v>
      </c>
      <c r="S66" s="84"/>
      <c r="T66" s="116"/>
      <c r="U66" s="116"/>
      <c r="V66" s="116"/>
      <c r="W66" s="116"/>
      <c r="X66" s="116"/>
      <c r="Y66" s="117"/>
      <c r="Z66" s="117"/>
    </row>
    <row r="67" spans="1:26" s="21" customFormat="1" ht="30" hidden="1" customHeight="1" thickBot="1">
      <c r="A67" s="262" t="s">
        <v>165</v>
      </c>
      <c r="B67" s="263"/>
      <c r="C67" s="263"/>
      <c r="D67" s="263"/>
      <c r="E67" s="224"/>
      <c r="F67" s="24"/>
      <c r="G67" s="122" t="s">
        <v>85</v>
      </c>
      <c r="H67" s="123" t="s">
        <v>169</v>
      </c>
      <c r="I67" s="92" t="s">
        <v>170</v>
      </c>
      <c r="J67" s="57">
        <f>J53*P90</f>
        <v>292879784.78955334</v>
      </c>
      <c r="K67" s="124" t="s">
        <v>168</v>
      </c>
      <c r="M67" s="58" t="s">
        <v>75</v>
      </c>
      <c r="N67" s="69" t="s">
        <v>105</v>
      </c>
      <c r="O67" s="69" t="s">
        <v>106</v>
      </c>
      <c r="P67" s="70">
        <v>1</v>
      </c>
      <c r="Q67" s="71" t="s">
        <v>103</v>
      </c>
    </row>
    <row r="68" spans="1:26" s="21" customFormat="1" ht="30" hidden="1" customHeight="1" thickBot="1">
      <c r="A68" s="44" t="s">
        <v>318</v>
      </c>
      <c r="B68" s="45" t="s">
        <v>319</v>
      </c>
      <c r="C68" s="45">
        <v>0</v>
      </c>
      <c r="D68" s="85">
        <v>0</v>
      </c>
      <c r="E68" s="125" t="s">
        <v>159</v>
      </c>
      <c r="F68" s="24"/>
      <c r="G68" s="126" t="s">
        <v>86</v>
      </c>
      <c r="H68" s="127" t="s">
        <v>171</v>
      </c>
      <c r="I68" s="67" t="s">
        <v>172</v>
      </c>
      <c r="J68" s="108">
        <f>1250*D77*(100-D80)</f>
        <v>296875000</v>
      </c>
      <c r="K68" s="128" t="s">
        <v>168</v>
      </c>
      <c r="M68" s="58" t="s">
        <v>76</v>
      </c>
      <c r="N68" s="69" t="s">
        <v>108</v>
      </c>
      <c r="O68" s="69" t="s">
        <v>109</v>
      </c>
      <c r="P68" s="70">
        <v>14</v>
      </c>
      <c r="Q68" s="71" t="s">
        <v>103</v>
      </c>
      <c r="R68" s="25"/>
    </row>
    <row r="69" spans="1:26" s="21" customFormat="1" ht="70.5" hidden="1" customHeight="1" thickBot="1">
      <c r="A69" s="129" t="s">
        <v>320</v>
      </c>
      <c r="B69" s="92" t="s">
        <v>321</v>
      </c>
      <c r="C69" s="92">
        <v>0</v>
      </c>
      <c r="D69" s="130">
        <v>0</v>
      </c>
      <c r="E69" s="131" t="s">
        <v>159</v>
      </c>
      <c r="F69" s="24"/>
      <c r="G69" s="222" t="s">
        <v>322</v>
      </c>
      <c r="H69" s="223"/>
      <c r="I69" s="223"/>
      <c r="J69" s="223"/>
      <c r="K69" s="224"/>
      <c r="M69" s="58" t="s">
        <v>77</v>
      </c>
      <c r="N69" s="69" t="s">
        <v>111</v>
      </c>
      <c r="O69" s="69" t="s">
        <v>112</v>
      </c>
      <c r="P69" s="70">
        <v>20</v>
      </c>
      <c r="Q69" s="71" t="s">
        <v>103</v>
      </c>
      <c r="R69" s="25"/>
    </row>
    <row r="70" spans="1:26" s="21" customFormat="1" ht="148.5" hidden="1" customHeight="1">
      <c r="A70" s="129" t="s">
        <v>323</v>
      </c>
      <c r="B70" s="92" t="s">
        <v>801</v>
      </c>
      <c r="C70" s="92">
        <f>VLOOKUP($C$48,$S$50:$AQ$58,20,FALSE)</f>
        <v>2448</v>
      </c>
      <c r="D70" s="130">
        <f>C4</f>
        <v>2448</v>
      </c>
      <c r="E70" s="131" t="s">
        <v>159</v>
      </c>
      <c r="F70" s="24"/>
      <c r="G70" s="132" t="s">
        <v>325</v>
      </c>
      <c r="H70" s="133" t="s">
        <v>326</v>
      </c>
      <c r="I70" s="119" t="s">
        <v>327</v>
      </c>
      <c r="J70" s="81">
        <f>IF(D77=10000,0,IF(D77=5000,1,IF(D77=2500,2,IF(D77=1000,3,3))))</f>
        <v>2</v>
      </c>
      <c r="K70" s="121" t="s">
        <v>328</v>
      </c>
      <c r="M70" s="58" t="s">
        <v>78</v>
      </c>
      <c r="N70" s="69" t="s">
        <v>114</v>
      </c>
      <c r="O70" s="69" t="s">
        <v>115</v>
      </c>
      <c r="P70" s="70">
        <v>8</v>
      </c>
      <c r="Q70" s="71" t="s">
        <v>103</v>
      </c>
      <c r="R70" s="25"/>
    </row>
    <row r="71" spans="1:26" s="21" customFormat="1" ht="45.75" hidden="1" customHeight="1" thickBot="1">
      <c r="A71" s="134" t="s">
        <v>329</v>
      </c>
      <c r="B71" s="90" t="s">
        <v>330</v>
      </c>
      <c r="C71" s="90">
        <f>VLOOKUP($C$48,$S$50:$AQ$58,21,FALSE)</f>
        <v>2048</v>
      </c>
      <c r="D71" s="135">
        <f>C5</f>
        <v>2048</v>
      </c>
      <c r="E71" s="89" t="s">
        <v>159</v>
      </c>
      <c r="F71" s="24"/>
      <c r="G71" s="136" t="s">
        <v>331</v>
      </c>
      <c r="H71" s="137" t="s">
        <v>332</v>
      </c>
      <c r="I71" s="138" t="s">
        <v>493</v>
      </c>
      <c r="J71" s="139">
        <f>ROUNDUP(D79*VLOOKUP($C$48,$S$50:$AQ$58,23,FALSE)/4000,0)</f>
        <v>0</v>
      </c>
      <c r="K71" s="140" t="s">
        <v>211</v>
      </c>
      <c r="M71" s="58" t="s">
        <v>79</v>
      </c>
      <c r="N71" s="69" t="s">
        <v>116</v>
      </c>
      <c r="O71" s="69" t="s">
        <v>115</v>
      </c>
      <c r="P71" s="70">
        <v>8</v>
      </c>
      <c r="Q71" s="71" t="s">
        <v>103</v>
      </c>
    </row>
    <row r="72" spans="1:26" s="21" customFormat="1" ht="48" hidden="1" customHeight="1" thickBot="1">
      <c r="A72" s="262" t="s">
        <v>138</v>
      </c>
      <c r="B72" s="263"/>
      <c r="C72" s="263"/>
      <c r="D72" s="263"/>
      <c r="E72" s="268"/>
      <c r="F72" s="24"/>
      <c r="G72" s="222" t="s">
        <v>143</v>
      </c>
      <c r="H72" s="223"/>
      <c r="I72" s="223"/>
      <c r="J72" s="223"/>
      <c r="K72" s="224"/>
      <c r="M72" s="58" t="s">
        <v>80</v>
      </c>
      <c r="N72" s="69" t="s">
        <v>117</v>
      </c>
      <c r="O72" s="69" t="s">
        <v>118</v>
      </c>
      <c r="P72" s="70">
        <v>4</v>
      </c>
      <c r="Q72" s="71" t="s">
        <v>103</v>
      </c>
    </row>
    <row r="73" spans="1:26" s="21" customFormat="1" ht="69.75" hidden="1" customHeight="1" thickBot="1">
      <c r="A73" s="141" t="s">
        <v>802</v>
      </c>
      <c r="B73" s="142" t="s">
        <v>334</v>
      </c>
      <c r="C73" s="143">
        <v>0</v>
      </c>
      <c r="D73" s="144">
        <v>0</v>
      </c>
      <c r="E73" s="145" t="s">
        <v>142</v>
      </c>
      <c r="G73" s="146" t="s">
        <v>87</v>
      </c>
      <c r="H73" s="147" t="s">
        <v>335</v>
      </c>
      <c r="I73" s="148" t="s">
        <v>336</v>
      </c>
      <c r="J73" s="149">
        <f>IF(ROUNDUP(P99*1000*8/D77,0)&gt;200000000,200000000,ROUNDUP(P99*1000*8/D77,0))</f>
        <v>2767223</v>
      </c>
      <c r="K73" s="150" t="s">
        <v>104</v>
      </c>
      <c r="M73" s="58" t="s">
        <v>52</v>
      </c>
      <c r="N73" s="69" t="s">
        <v>51</v>
      </c>
      <c r="O73" s="69" t="s">
        <v>120</v>
      </c>
      <c r="P73" s="70">
        <v>12</v>
      </c>
      <c r="Q73" s="71" t="s">
        <v>103</v>
      </c>
      <c r="S73" s="262" t="s">
        <v>131</v>
      </c>
      <c r="T73" s="263"/>
      <c r="U73" s="263"/>
      <c r="V73" s="263"/>
      <c r="W73" s="263"/>
      <c r="X73" s="264"/>
    </row>
    <row r="74" spans="1:26" s="21" customFormat="1" ht="62.25" hidden="1" customHeight="1" thickBot="1">
      <c r="A74" s="262" t="s">
        <v>337</v>
      </c>
      <c r="B74" s="263"/>
      <c r="C74" s="263"/>
      <c r="D74" s="263"/>
      <c r="E74" s="268"/>
      <c r="G74" s="222" t="s">
        <v>145</v>
      </c>
      <c r="H74" s="223"/>
      <c r="I74" s="223"/>
      <c r="J74" s="223"/>
      <c r="K74" s="224"/>
      <c r="M74" s="58" t="s">
        <v>55</v>
      </c>
      <c r="N74" s="92" t="s">
        <v>122</v>
      </c>
      <c r="O74" s="69" t="s">
        <v>123</v>
      </c>
      <c r="P74" s="70">
        <f>P69+P70+P71</f>
        <v>36</v>
      </c>
      <c r="Q74" s="71" t="s">
        <v>103</v>
      </c>
      <c r="S74" s="32" t="s">
        <v>212</v>
      </c>
      <c r="T74" s="33" t="s">
        <v>213</v>
      </c>
      <c r="U74" s="33" t="s">
        <v>94</v>
      </c>
      <c r="V74" s="33" t="s">
        <v>98</v>
      </c>
      <c r="W74" s="151" t="s">
        <v>173</v>
      </c>
      <c r="X74" s="41" t="s">
        <v>174</v>
      </c>
    </row>
    <row r="75" spans="1:26" s="21" customFormat="1" ht="50.25" hidden="1" customHeight="1" thickBot="1">
      <c r="A75" s="152" t="s">
        <v>803</v>
      </c>
      <c r="B75" s="153" t="s">
        <v>339</v>
      </c>
      <c r="C75" s="154">
        <v>0</v>
      </c>
      <c r="D75" s="155">
        <v>0</v>
      </c>
      <c r="E75" s="156" t="s">
        <v>142</v>
      </c>
      <c r="G75" s="146" t="s">
        <v>88</v>
      </c>
      <c r="H75" s="147" t="s">
        <v>145</v>
      </c>
      <c r="I75" s="148" t="s">
        <v>340</v>
      </c>
      <c r="J75" s="149">
        <f>IF((100-ROUNDDOWN(10*P92/(125000*D77),0)-1)&lt;0,0,(100-ROUNDDOWN(10*P92/(125000*D77),0)-1))</f>
        <v>99</v>
      </c>
      <c r="K75" s="150" t="s">
        <v>146</v>
      </c>
      <c r="M75" s="58" t="s">
        <v>56</v>
      </c>
      <c r="N75" s="92" t="s">
        <v>126</v>
      </c>
      <c r="O75" s="69" t="s">
        <v>127</v>
      </c>
      <c r="P75" s="70">
        <f>P66+P67+P68+P72</f>
        <v>26</v>
      </c>
      <c r="Q75" s="71" t="s">
        <v>103</v>
      </c>
      <c r="S75" s="157" t="s">
        <v>341</v>
      </c>
      <c r="T75" s="119" t="s">
        <v>342</v>
      </c>
      <c r="U75" s="158" t="s">
        <v>343</v>
      </c>
      <c r="V75" s="45" t="s">
        <v>344</v>
      </c>
      <c r="W75" s="159" t="str">
        <f>"0x"&amp;DEC2HEX(J55)</f>
        <v>0x8A8</v>
      </c>
      <c r="X75" s="160"/>
    </row>
    <row r="76" spans="1:26" s="21" customFormat="1" ht="156" hidden="1" customHeight="1" thickBot="1">
      <c r="A76" s="262" t="s">
        <v>175</v>
      </c>
      <c r="B76" s="263"/>
      <c r="C76" s="263"/>
      <c r="D76" s="263"/>
      <c r="E76" s="268"/>
      <c r="G76" s="222" t="s">
        <v>345</v>
      </c>
      <c r="H76" s="223"/>
      <c r="I76" s="223"/>
      <c r="J76" s="223"/>
      <c r="K76" s="224"/>
      <c r="M76" s="87" t="s">
        <v>58</v>
      </c>
      <c r="N76" s="59" t="s">
        <v>57</v>
      </c>
      <c r="O76" s="59" t="s">
        <v>130</v>
      </c>
      <c r="P76" s="91">
        <f>64-P68-P72-P74</f>
        <v>10</v>
      </c>
      <c r="Q76" s="161" t="s">
        <v>103</v>
      </c>
      <c r="S76" s="162" t="s">
        <v>346</v>
      </c>
      <c r="T76" s="119" t="s">
        <v>495</v>
      </c>
      <c r="U76" s="163" t="s">
        <v>348</v>
      </c>
      <c r="V76" s="69" t="s">
        <v>804</v>
      </c>
      <c r="W76" s="242" t="str">
        <f>"0x"&amp;DEC2HEX(IF(D56="Ultrashort",50,ROUNDUP(P55/37.647*50,0)))</f>
        <v>0x116</v>
      </c>
      <c r="X76" s="165" t="s">
        <v>805</v>
      </c>
    </row>
    <row r="77" spans="1:26" s="21" customFormat="1" ht="84.75" hidden="1" customHeight="1" thickBot="1">
      <c r="A77" s="166" t="s">
        <v>350</v>
      </c>
      <c r="B77" s="80" t="s">
        <v>806</v>
      </c>
      <c r="C77" s="167" t="s">
        <v>142</v>
      </c>
      <c r="D77" s="168">
        <f>C18</f>
        <v>2500</v>
      </c>
      <c r="E77" s="78" t="s">
        <v>176</v>
      </c>
      <c r="G77" s="132" t="s">
        <v>351</v>
      </c>
      <c r="H77" s="133" t="s">
        <v>352</v>
      </c>
      <c r="I77" s="119" t="s">
        <v>353</v>
      </c>
      <c r="J77" s="169" t="str">
        <f>IF((D62=1)*(D55="TriggerWidth"),J55+IF(ROUNDUP((1000*D60/J51),0)&gt;J79,ROUNDUP((1000*D60/J51),0)-J79,0),"null")</f>
        <v>null</v>
      </c>
      <c r="K77" s="2" t="s">
        <v>260</v>
      </c>
      <c r="M77" s="262" t="s">
        <v>181</v>
      </c>
      <c r="N77" s="263"/>
      <c r="O77" s="263"/>
      <c r="P77" s="263"/>
      <c r="Q77" s="268"/>
      <c r="S77" s="162" t="s">
        <v>354</v>
      </c>
      <c r="T77" s="119" t="s">
        <v>355</v>
      </c>
      <c r="U77" s="163" t="s">
        <v>356</v>
      </c>
      <c r="V77" s="55" t="s">
        <v>357</v>
      </c>
      <c r="W77" s="164" t="str">
        <f>"0X"&amp;DEC2HEX(J62)</f>
        <v>0X0</v>
      </c>
      <c r="X77" s="165"/>
    </row>
    <row r="78" spans="1:26" s="21" customFormat="1" ht="57" hidden="1" customHeight="1" thickBot="1">
      <c r="A78" s="129" t="s">
        <v>358</v>
      </c>
      <c r="B78" s="92" t="s">
        <v>359</v>
      </c>
      <c r="C78" s="170">
        <v>1500</v>
      </c>
      <c r="D78" s="130">
        <f>C13</f>
        <v>1500</v>
      </c>
      <c r="E78" s="131" t="s">
        <v>103</v>
      </c>
      <c r="G78" s="136" t="s">
        <v>360</v>
      </c>
      <c r="H78" s="137" t="s">
        <v>361</v>
      </c>
      <c r="I78" s="138" t="s">
        <v>362</v>
      </c>
      <c r="J78" s="171" t="str">
        <f>IF((D62=1)*(D55="TriggerWidth"),IF(D60&gt;D59,(ROUNDUP((1000*D60/J51),0)*J51+P59)/1000,(ROUNDUP((1000*D59/J51),0)*J51+P59)/1000),"null")</f>
        <v>null</v>
      </c>
      <c r="K78" s="140" t="s">
        <v>286</v>
      </c>
      <c r="M78" s="32" t="s">
        <v>96</v>
      </c>
      <c r="N78" s="33" t="s">
        <v>94</v>
      </c>
      <c r="O78" s="33" t="s">
        <v>98</v>
      </c>
      <c r="P78" s="33" t="s">
        <v>157</v>
      </c>
      <c r="Q78" s="34" t="s">
        <v>100</v>
      </c>
      <c r="S78" s="162" t="s">
        <v>363</v>
      </c>
      <c r="T78" s="119" t="s">
        <v>364</v>
      </c>
      <c r="U78" s="163" t="s">
        <v>365</v>
      </c>
      <c r="V78" s="55" t="s">
        <v>366</v>
      </c>
      <c r="W78" s="164" t="str">
        <f>"0x"&amp;DEC2HEX(J79)</f>
        <v>0x852</v>
      </c>
      <c r="X78" s="165"/>
    </row>
    <row r="79" spans="1:26" s="174" customFormat="1" ht="75.75" hidden="1" customHeight="1" thickBot="1">
      <c r="A79" s="172" t="s">
        <v>367</v>
      </c>
      <c r="B79" s="56" t="str">
        <f>"流通道包间隔 
范围:0"&amp;"-"&amp;J73</f>
        <v>流通道包间隔 
范围:0-2767223</v>
      </c>
      <c r="C79" s="173">
        <v>0</v>
      </c>
      <c r="D79" s="130">
        <f>C14</f>
        <v>0</v>
      </c>
      <c r="E79" s="131" t="s">
        <v>104</v>
      </c>
      <c r="G79" s="136" t="s">
        <v>368</v>
      </c>
      <c r="H79" s="137" t="s">
        <v>369</v>
      </c>
      <c r="I79" s="138" t="s">
        <v>370</v>
      </c>
      <c r="J79" s="171">
        <f>MAX(INT(D59*1000/J51),1)</f>
        <v>2130</v>
      </c>
      <c r="K79" s="175" t="s">
        <v>260</v>
      </c>
      <c r="M79" s="44" t="s">
        <v>81</v>
      </c>
      <c r="N79" s="119" t="s">
        <v>203</v>
      </c>
      <c r="O79" s="45" t="s">
        <v>135</v>
      </c>
      <c r="P79" s="46">
        <f>36</f>
        <v>36</v>
      </c>
      <c r="Q79" s="47" t="s">
        <v>103</v>
      </c>
      <c r="S79" s="162" t="s">
        <v>371</v>
      </c>
      <c r="T79" s="119" t="s">
        <v>372</v>
      </c>
      <c r="U79" s="163" t="s">
        <v>373</v>
      </c>
      <c r="V79" s="56" t="s">
        <v>374</v>
      </c>
      <c r="W79" s="164" t="str">
        <f>"0x"&amp;DEC2HEX(IF(D57&lt;=P59/1000,1,J60))</f>
        <v>0x707</v>
      </c>
      <c r="X79" s="165"/>
    </row>
    <row r="80" spans="1:26" s="174" customFormat="1" ht="50.1" hidden="1" customHeight="1" thickBot="1">
      <c r="A80" s="176" t="s">
        <v>375</v>
      </c>
      <c r="B80" s="97" t="str">
        <f>"预留带宽 
范围:0-"&amp;J75</f>
        <v>预留带宽 
范围:0-99</v>
      </c>
      <c r="C80" s="177">
        <v>10</v>
      </c>
      <c r="D80" s="135">
        <f>C19</f>
        <v>5</v>
      </c>
      <c r="E80" s="89" t="s">
        <v>146</v>
      </c>
      <c r="G80" s="178" t="s">
        <v>376</v>
      </c>
      <c r="H80" s="179"/>
      <c r="I80" s="225" t="s">
        <v>376</v>
      </c>
      <c r="J80" s="225"/>
      <c r="K80" s="180"/>
      <c r="M80" s="58" t="s">
        <v>82</v>
      </c>
      <c r="N80" s="92" t="s">
        <v>182</v>
      </c>
      <c r="O80" s="69" t="s">
        <v>136</v>
      </c>
      <c r="P80" s="70">
        <v>10</v>
      </c>
      <c r="Q80" s="71" t="s">
        <v>103</v>
      </c>
      <c r="S80" s="162" t="s">
        <v>377</v>
      </c>
      <c r="T80" s="119" t="s">
        <v>378</v>
      </c>
      <c r="U80" s="163" t="s">
        <v>379</v>
      </c>
      <c r="V80" s="69" t="s">
        <v>380</v>
      </c>
      <c r="W80" s="164" t="str">
        <f>IF(D57&gt;P60,"0x"&amp;DEC2HEX(MAX(J55,J56,J57,J58)),"0x"&amp;DEC2HEX(MAX(J55,J56+1,J57,J58)))</f>
        <v>0xC89</v>
      </c>
      <c r="X80" s="165"/>
    </row>
    <row r="81" spans="1:26" s="21" customFormat="1" ht="75" hidden="1" customHeight="1" thickBot="1">
      <c r="A81" s="262"/>
      <c r="B81" s="263"/>
      <c r="C81" s="263"/>
      <c r="D81" s="263"/>
      <c r="E81" s="268"/>
      <c r="G81" s="181" t="s">
        <v>381</v>
      </c>
      <c r="H81" s="106" t="s">
        <v>382</v>
      </c>
      <c r="I81" s="106" t="s">
        <v>383</v>
      </c>
      <c r="J81" s="106" t="str">
        <f>IF(D56="Standard","null",J55+J62+J60+ROUNDUP(P59/1000,0))</f>
        <v>null</v>
      </c>
      <c r="K81" s="106" t="s">
        <v>807</v>
      </c>
      <c r="M81" s="182" t="s">
        <v>83</v>
      </c>
      <c r="N81" s="183" t="s">
        <v>183</v>
      </c>
      <c r="O81" s="183" t="s">
        <v>384</v>
      </c>
      <c r="P81" s="203">
        <v>48</v>
      </c>
      <c r="Q81" s="124" t="s">
        <v>103</v>
      </c>
      <c r="S81" s="184" t="s">
        <v>385</v>
      </c>
      <c r="T81" s="36" t="s">
        <v>386</v>
      </c>
      <c r="U81" s="185" t="s">
        <v>387</v>
      </c>
      <c r="V81" s="49" t="s">
        <v>380</v>
      </c>
      <c r="W81" s="186" t="str">
        <f>"0x"&amp;DEC2HEX(MAX(J55,J56))</f>
        <v>0x8A8</v>
      </c>
      <c r="X81" s="165"/>
      <c r="Y81" s="174"/>
    </row>
    <row r="82" spans="1:26" s="21" customFormat="1" ht="43.5" hidden="1" customHeight="1">
      <c r="A82" s="44" t="s">
        <v>388</v>
      </c>
      <c r="B82" s="45" t="s">
        <v>389</v>
      </c>
      <c r="C82" s="45">
        <v>0</v>
      </c>
      <c r="D82" s="85">
        <f>C17</f>
        <v>0</v>
      </c>
      <c r="E82" s="125" t="s">
        <v>142</v>
      </c>
      <c r="G82" s="178" t="s">
        <v>390</v>
      </c>
      <c r="H82" s="179"/>
      <c r="I82" s="225" t="s">
        <v>808</v>
      </c>
      <c r="J82" s="225"/>
      <c r="K82" s="180"/>
      <c r="M82" s="129" t="s">
        <v>53</v>
      </c>
      <c r="N82" s="92" t="s">
        <v>184</v>
      </c>
      <c r="O82" s="92" t="s">
        <v>185</v>
      </c>
      <c r="P82" s="187">
        <f>D70*D71*IF(D53=8,1,IF(OR(D53="RGB8",D53="BGR8"),3,2))</f>
        <v>5013504</v>
      </c>
      <c r="Q82" s="71" t="s">
        <v>103</v>
      </c>
      <c r="S82" s="184" t="s">
        <v>391</v>
      </c>
      <c r="T82" s="36" t="s">
        <v>392</v>
      </c>
      <c r="U82" s="185" t="s">
        <v>393</v>
      </c>
      <c r="V82" s="49" t="s">
        <v>380</v>
      </c>
      <c r="W82" s="186" t="str">
        <f>"0x"&amp;IF(D64="HighSpeed",IF(D56="TriggerWidth",DEC2HEX(MAX(J55,J57)),DEC2HEX(MAX(J55,J56,J57))),IF(D55="TriggerWidth",DEC2HEX(MAX(J55,J57,P96)),DEC2HEX(MAX(J55,J56,J57,P96))))</f>
        <v>0xBE9</v>
      </c>
      <c r="X82" s="165"/>
      <c r="Y82" s="174"/>
    </row>
    <row r="83" spans="1:26" s="21" customFormat="1" ht="60" hidden="1" customHeight="1" thickBot="1">
      <c r="A83" s="87" t="s">
        <v>394</v>
      </c>
      <c r="B83" s="66" t="s">
        <v>395</v>
      </c>
      <c r="C83" s="59">
        <f>VLOOKUP($C$48,$S$50:$AQ$58,22,FALSE)</f>
        <v>56</v>
      </c>
      <c r="D83" s="88">
        <f>C16</f>
        <v>58</v>
      </c>
      <c r="E83" s="188" t="s">
        <v>113</v>
      </c>
      <c r="G83" s="189" t="s">
        <v>809</v>
      </c>
      <c r="H83" s="101" t="s">
        <v>397</v>
      </c>
      <c r="I83" s="189" t="s">
        <v>398</v>
      </c>
      <c r="J83" s="243">
        <f>IF(OR(D57&gt;P60,D85=2,D86=2,D91=2,D92=2),J60+IF(D75=1,0,J62)+P58,J55+J60+IF(D75=1,0,J62)+2)</f>
        <v>1885</v>
      </c>
      <c r="K83" s="101" t="s">
        <v>260</v>
      </c>
      <c r="M83" s="58" t="s">
        <v>54</v>
      </c>
      <c r="N83" s="92" t="s">
        <v>186</v>
      </c>
      <c r="O83" s="92" t="s">
        <v>217</v>
      </c>
      <c r="P83" s="190">
        <f>P82+P81*D73</f>
        <v>5013504</v>
      </c>
      <c r="Q83" s="71" t="s">
        <v>103</v>
      </c>
      <c r="S83" s="191" t="s">
        <v>399</v>
      </c>
      <c r="T83" s="119" t="s">
        <v>400</v>
      </c>
      <c r="U83" s="163" t="s">
        <v>810</v>
      </c>
      <c r="V83" s="92" t="s">
        <v>811</v>
      </c>
      <c r="W83" s="164" t="str">
        <f>"0x"&amp;IF((D62=1)*(D55="TriggerWidth"),1,0)</f>
        <v>0x0</v>
      </c>
      <c r="X83" s="165"/>
      <c r="Y83" s="174"/>
    </row>
    <row r="84" spans="1:26" s="21" customFormat="1" ht="126.75" hidden="1" customHeight="1" thickBot="1">
      <c r="A84" s="262" t="s">
        <v>402</v>
      </c>
      <c r="B84" s="263"/>
      <c r="C84" s="263"/>
      <c r="D84" s="263"/>
      <c r="E84" s="268"/>
      <c r="G84" s="271" t="s">
        <v>403</v>
      </c>
      <c r="H84" s="271"/>
      <c r="I84" s="271"/>
      <c r="J84" s="271"/>
      <c r="K84" s="271"/>
      <c r="M84" s="58" t="s">
        <v>60</v>
      </c>
      <c r="N84" s="92" t="s">
        <v>59</v>
      </c>
      <c r="O84" s="69" t="s">
        <v>137</v>
      </c>
      <c r="P84" s="192">
        <f>INT(P83/(D78-P74))</f>
        <v>3424</v>
      </c>
      <c r="Q84" s="71" t="s">
        <v>404</v>
      </c>
      <c r="S84" s="191" t="s">
        <v>405</v>
      </c>
      <c r="T84" s="56" t="s">
        <v>406</v>
      </c>
      <c r="U84" s="56" t="s">
        <v>407</v>
      </c>
      <c r="V84" s="56" t="s">
        <v>408</v>
      </c>
      <c r="W84" s="244" t="e">
        <f>"0x"&amp;DEC2HEX(P55/37.647*VLOOKUP($C$2,$S$4:$AM$21,4,FALSE)-(VLOOKUP($C$2,$S$4:$AM$21,9,FALSE)/VLOOKUP($C$2,$S$4:$AM$21,5,FALSE)/VLOOKUP($C$2,$S$4:$AM$21,6,FALSE)))</f>
        <v>#N/A</v>
      </c>
      <c r="X84" s="193"/>
      <c r="Z84" s="174"/>
    </row>
    <row r="85" spans="1:26" s="21" customFormat="1" ht="30" hidden="1" customHeight="1">
      <c r="A85" s="44" t="s">
        <v>409</v>
      </c>
      <c r="B85" s="79" t="s">
        <v>410</v>
      </c>
      <c r="C85" s="45">
        <v>1</v>
      </c>
      <c r="D85" s="85">
        <f>C8</f>
        <v>1</v>
      </c>
      <c r="E85" s="125" t="s">
        <v>142</v>
      </c>
      <c r="G85" s="181" t="s">
        <v>411</v>
      </c>
      <c r="H85" s="106" t="s">
        <v>412</v>
      </c>
      <c r="I85" s="181" t="s">
        <v>413</v>
      </c>
      <c r="J85" s="106">
        <v>4</v>
      </c>
      <c r="K85" s="106" t="s">
        <v>414</v>
      </c>
      <c r="M85" s="58" t="s">
        <v>62</v>
      </c>
      <c r="N85" s="92" t="s">
        <v>187</v>
      </c>
      <c r="O85" s="69" t="s">
        <v>139</v>
      </c>
      <c r="P85" s="192">
        <f>P83-(D78-P74)*P84</f>
        <v>768</v>
      </c>
      <c r="Q85" s="71" t="s">
        <v>103</v>
      </c>
      <c r="S85" s="191" t="s">
        <v>812</v>
      </c>
      <c r="T85" s="92" t="str">
        <f>IF(OR(C51="A7",C51="KU3P"),"0x01100000","0x77601500")</f>
        <v>0x77601500</v>
      </c>
      <c r="U85" s="163" t="s">
        <v>179</v>
      </c>
      <c r="V85" s="92" t="s">
        <v>142</v>
      </c>
      <c r="W85" s="164" t="s">
        <v>180</v>
      </c>
      <c r="X85" s="194"/>
      <c r="Z85" s="174"/>
    </row>
    <row r="86" spans="1:26" s="174" customFormat="1" ht="119.25" hidden="1" customHeight="1" thickBot="1">
      <c r="A86" s="87" t="s">
        <v>416</v>
      </c>
      <c r="B86" s="66" t="s">
        <v>417</v>
      </c>
      <c r="C86" s="59">
        <v>1</v>
      </c>
      <c r="D86" s="88">
        <f>C9</f>
        <v>1</v>
      </c>
      <c r="E86" s="188" t="s">
        <v>142</v>
      </c>
      <c r="G86" s="195" t="s">
        <v>418</v>
      </c>
      <c r="H86" s="195" t="s">
        <v>419</v>
      </c>
      <c r="I86" s="195" t="s">
        <v>413</v>
      </c>
      <c r="J86" s="195">
        <f>POWER(2,ROUNDUP(LOG(IF(D53="rgb888",3*VLOOKUP($C$48,$S$50:$AT$58,11,FALSE)*VLOOKUP($C$48,$S$50:$AT$58,12,FALSE),IF(D53=12,2*VLOOKUP($C$48,$S$50:$AT$58,11,FALSE)*VLOOKUP($C$48,$S$50:$AT$58,12,FALSE),VLOOKUP($C$48,$S$50:$AT$58,11,FALSE)*VLOOKUP($C$48,$S$50:$AT$58,12,FALSE)))+P79+P80,2),0))</f>
        <v>8388608</v>
      </c>
      <c r="K86" s="195" t="s">
        <v>420</v>
      </c>
      <c r="M86" s="54" t="s">
        <v>61</v>
      </c>
      <c r="N86" s="56" t="s">
        <v>40</v>
      </c>
      <c r="O86" s="55" t="s">
        <v>214</v>
      </c>
      <c r="P86" s="70">
        <f>IF(MOD(P82,(D78-P74))=0,0,1)</f>
        <v>1</v>
      </c>
      <c r="Q86" s="71" t="s">
        <v>404</v>
      </c>
      <c r="S86" s="196" t="s">
        <v>507</v>
      </c>
      <c r="T86" s="67" t="s">
        <v>421</v>
      </c>
      <c r="U86" s="67" t="s">
        <v>422</v>
      </c>
      <c r="V86" s="67" t="s">
        <v>423</v>
      </c>
      <c r="W86" s="197" t="str">
        <f>"0x"&amp;DEC2HEX(D78-P74)</f>
        <v>0x5B8</v>
      </c>
      <c r="X86" s="198" t="s">
        <v>424</v>
      </c>
      <c r="Y86" s="21"/>
    </row>
    <row r="87" spans="1:26" s="174" customFormat="1" ht="55.5" hidden="1" customHeight="1" thickBot="1">
      <c r="A87" s="262" t="s">
        <v>425</v>
      </c>
      <c r="B87" s="263"/>
      <c r="C87" s="263"/>
      <c r="D87" s="263"/>
      <c r="E87" s="268"/>
      <c r="G87" s="189" t="s">
        <v>426</v>
      </c>
      <c r="H87" s="101" t="s">
        <v>427</v>
      </c>
      <c r="I87" s="189" t="s">
        <v>813</v>
      </c>
      <c r="J87" s="101">
        <f>IF(J85=1,1024*1024*1024,IF(J85=2,2*1024*1024*1024,4*1024*1024*1024))/(8*J86)-1</f>
        <v>63</v>
      </c>
      <c r="K87" s="101" t="s">
        <v>413</v>
      </c>
      <c r="M87" s="58" t="s">
        <v>63</v>
      </c>
      <c r="N87" s="92" t="s">
        <v>188</v>
      </c>
      <c r="O87" s="55" t="s">
        <v>140</v>
      </c>
      <c r="P87" s="192">
        <f>IF(P85&lt;P76,P76,P85)</f>
        <v>768</v>
      </c>
      <c r="Q87" s="71" t="s">
        <v>103</v>
      </c>
      <c r="S87" s="191" t="s">
        <v>428</v>
      </c>
      <c r="T87" s="56" t="s">
        <v>429</v>
      </c>
      <c r="U87" s="56" t="s">
        <v>430</v>
      </c>
      <c r="V87" s="56" t="s">
        <v>431</v>
      </c>
      <c r="W87" s="56" t="str">
        <f>"0x"&amp;DEC2HEX(J71)</f>
        <v>0x0</v>
      </c>
      <c r="X87" s="269" t="s">
        <v>432</v>
      </c>
      <c r="Y87" s="21"/>
      <c r="Z87" s="21"/>
    </row>
    <row r="88" spans="1:26" s="174" customFormat="1" ht="86.25" hidden="1" customHeight="1" thickBot="1">
      <c r="A88" s="44" t="s">
        <v>433</v>
      </c>
      <c r="B88" s="79" t="s">
        <v>434</v>
      </c>
      <c r="C88" s="45">
        <v>1</v>
      </c>
      <c r="D88" s="85">
        <v>1</v>
      </c>
      <c r="E88" s="125" t="s">
        <v>142</v>
      </c>
      <c r="M88" s="54" t="s">
        <v>64</v>
      </c>
      <c r="N88" s="56" t="s">
        <v>189</v>
      </c>
      <c r="O88" s="55" t="s">
        <v>141</v>
      </c>
      <c r="P88" s="192">
        <f>P75+P74+P79</f>
        <v>98</v>
      </c>
      <c r="Q88" s="71" t="s">
        <v>103</v>
      </c>
      <c r="S88" s="199" t="s">
        <v>435</v>
      </c>
      <c r="T88" s="138" t="s">
        <v>436</v>
      </c>
      <c r="U88" s="138" t="s">
        <v>437</v>
      </c>
      <c r="V88" s="138" t="s">
        <v>438</v>
      </c>
      <c r="W88" s="138" t="str">
        <f>"0x"&amp;DEC2HEX(J70)</f>
        <v>0x2</v>
      </c>
      <c r="X88" s="270"/>
      <c r="Y88" s="21"/>
      <c r="Z88" s="21"/>
    </row>
    <row r="89" spans="1:26" s="21" customFormat="1" ht="52.5" hidden="1" customHeight="1" thickBot="1">
      <c r="A89" s="87" t="s">
        <v>439</v>
      </c>
      <c r="B89" s="66" t="s">
        <v>440</v>
      </c>
      <c r="C89" s="59">
        <v>1</v>
      </c>
      <c r="D89" s="88">
        <v>1</v>
      </c>
      <c r="E89" s="188" t="s">
        <v>142</v>
      </c>
      <c r="G89" s="174" t="s">
        <v>441</v>
      </c>
      <c r="H89" s="174">
        <f>C70*8*IF(D53=8,1,2)/J51/(IF(D85=2,2,1))</f>
        <v>3.5223021582733813</v>
      </c>
      <c r="I89" s="174" t="s">
        <v>442</v>
      </c>
      <c r="J89" s="174"/>
      <c r="K89" s="174"/>
      <c r="M89" s="54" t="s">
        <v>65</v>
      </c>
      <c r="N89" s="56" t="s">
        <v>190</v>
      </c>
      <c r="O89" s="55" t="s">
        <v>191</v>
      </c>
      <c r="P89" s="192">
        <f>P75+P74+P80</f>
        <v>72</v>
      </c>
      <c r="Q89" s="71" t="s">
        <v>103</v>
      </c>
      <c r="S89" s="200" t="s">
        <v>443</v>
      </c>
      <c r="T89" s="201" t="s">
        <v>517</v>
      </c>
      <c r="U89" s="202" t="s">
        <v>444</v>
      </c>
      <c r="V89" s="203" t="s">
        <v>445</v>
      </c>
      <c r="W89" s="204" t="str">
        <f>"0x"&amp;DEC2HEX(J61)</f>
        <v>0x0</v>
      </c>
      <c r="X89" s="165"/>
    </row>
    <row r="90" spans="1:26" s="21" customFormat="1" ht="66.75" hidden="1" customHeight="1" thickBot="1">
      <c r="A90" s="262" t="s">
        <v>519</v>
      </c>
      <c r="B90" s="263"/>
      <c r="C90" s="263"/>
      <c r="D90" s="263"/>
      <c r="E90" s="268"/>
      <c r="G90" s="174" t="s">
        <v>446</v>
      </c>
      <c r="H90" s="174">
        <f>J67*8/1000/1000/1000</f>
        <v>2.3430382783164263</v>
      </c>
      <c r="I90" s="174"/>
      <c r="J90" s="174"/>
      <c r="K90" s="174"/>
      <c r="M90" s="54" t="s">
        <v>66</v>
      </c>
      <c r="N90" s="56" t="s">
        <v>41</v>
      </c>
      <c r="O90" s="55" t="s">
        <v>447</v>
      </c>
      <c r="P90" s="192">
        <f>P84*(D78+P75)+P86*(P87+P75+P74)</f>
        <v>5225854</v>
      </c>
      <c r="Q90" s="71" t="s">
        <v>103</v>
      </c>
    </row>
    <row r="91" spans="1:26" s="21" customFormat="1" ht="45" hidden="1" customHeight="1">
      <c r="A91" s="44" t="s">
        <v>433</v>
      </c>
      <c r="B91" s="79" t="s">
        <v>434</v>
      </c>
      <c r="C91" s="45">
        <v>1</v>
      </c>
      <c r="D91" s="85">
        <v>1</v>
      </c>
      <c r="E91" s="125" t="s">
        <v>142</v>
      </c>
      <c r="G91" s="84" t="s">
        <v>448</v>
      </c>
      <c r="H91" s="84">
        <f>I91-H90</f>
        <v>9.496961721683574</v>
      </c>
      <c r="I91" s="174">
        <f>16*0.74</f>
        <v>11.84</v>
      </c>
      <c r="M91" s="209" t="s">
        <v>67</v>
      </c>
      <c r="N91" s="56" t="s">
        <v>192</v>
      </c>
      <c r="O91" s="56" t="s">
        <v>193</v>
      </c>
      <c r="P91" s="210">
        <f>(2+P86+P84)*P98</f>
        <v>68540</v>
      </c>
      <c r="Q91" s="124" t="s">
        <v>103</v>
      </c>
      <c r="U91" s="115"/>
    </row>
    <row r="92" spans="1:26" s="21" customFormat="1" ht="45" hidden="1" customHeight="1" thickBot="1">
      <c r="A92" s="87" t="s">
        <v>439</v>
      </c>
      <c r="B92" s="66" t="s">
        <v>664</v>
      </c>
      <c r="C92" s="59">
        <v>1</v>
      </c>
      <c r="D92" s="88">
        <v>1</v>
      </c>
      <c r="E92" s="188" t="s">
        <v>142</v>
      </c>
      <c r="G92" s="84" t="s">
        <v>449</v>
      </c>
      <c r="H92" s="96">
        <f>H91-H89</f>
        <v>5.9746595634101922</v>
      </c>
      <c r="I92" s="84" t="s">
        <v>450</v>
      </c>
      <c r="M92" s="129" t="s">
        <v>68</v>
      </c>
      <c r="N92" s="92" t="s">
        <v>194</v>
      </c>
      <c r="O92" s="92" t="s">
        <v>144</v>
      </c>
      <c r="P92" s="187">
        <f>P88+P89+P90+P91</f>
        <v>5294564</v>
      </c>
      <c r="Q92" s="124" t="s">
        <v>103</v>
      </c>
      <c r="U92" s="115"/>
    </row>
    <row r="93" spans="1:26" s="21" customFormat="1" ht="45" hidden="1" customHeight="1">
      <c r="A93" s="245" t="s">
        <v>44</v>
      </c>
      <c r="B93" s="246"/>
      <c r="C93" s="246"/>
      <c r="D93" s="246"/>
      <c r="E93" s="247"/>
      <c r="G93" s="84" t="s">
        <v>451</v>
      </c>
      <c r="H93" s="84">
        <f>H89-H90</f>
        <v>1.179263879956955</v>
      </c>
      <c r="I93" s="84" t="s">
        <v>452</v>
      </c>
      <c r="M93" s="209" t="s">
        <v>70</v>
      </c>
      <c r="N93" s="56" t="s">
        <v>69</v>
      </c>
      <c r="O93" s="56" t="s">
        <v>195</v>
      </c>
      <c r="P93" s="57">
        <f>INT(1000000*D77*(100-D80)/80)</f>
        <v>2968750000</v>
      </c>
      <c r="Q93" s="211" t="s">
        <v>196</v>
      </c>
      <c r="U93" s="115"/>
    </row>
    <row r="94" spans="1:26" s="21" customFormat="1" ht="60" hidden="1" customHeight="1" thickBot="1">
      <c r="A94" s="205" t="s">
        <v>43</v>
      </c>
      <c r="B94" s="206" t="s">
        <v>89</v>
      </c>
      <c r="C94" s="206"/>
      <c r="D94" s="207">
        <f>J53</f>
        <v>56.044387154626463</v>
      </c>
      <c r="E94" s="208"/>
      <c r="G94" s="84"/>
      <c r="H94" s="84"/>
      <c r="I94" s="84"/>
      <c r="M94" s="212" t="s">
        <v>72</v>
      </c>
      <c r="N94" s="90" t="s">
        <v>71</v>
      </c>
      <c r="O94" s="90" t="s">
        <v>215</v>
      </c>
      <c r="P94" s="108">
        <f>ROUNDUP(P92*1000000/P93,0)*10</f>
        <v>17840</v>
      </c>
      <c r="Q94" s="89" t="s">
        <v>110</v>
      </c>
    </row>
    <row r="95" spans="1:26" s="21" customFormat="1" ht="78" hidden="1" customHeight="1" thickBot="1">
      <c r="G95" s="84"/>
      <c r="H95" s="84"/>
      <c r="I95" s="84"/>
      <c r="M95" s="3" t="s">
        <v>453</v>
      </c>
      <c r="N95" s="189" t="s">
        <v>814</v>
      </c>
      <c r="O95" s="189" t="s">
        <v>454</v>
      </c>
      <c r="P95" s="213">
        <f>INT(1000000*D77*(100)/80)</f>
        <v>3125000000</v>
      </c>
      <c r="Q95" s="214" t="s">
        <v>455</v>
      </c>
    </row>
    <row r="96" spans="1:26" s="21" customFormat="1" ht="71.25" hidden="1" customHeight="1" thickBot="1">
      <c r="M96" s="215" t="s">
        <v>456</v>
      </c>
      <c r="N96" s="216" t="s">
        <v>457</v>
      </c>
      <c r="O96" s="217" t="s">
        <v>215</v>
      </c>
      <c r="P96" s="218">
        <f>IF(D56="Ultrashort",ROUNDUP(P92*1000000/P95,0)*10,ROUNDUP(ROUNDUP(P92*1000000/P95,0)*10*1000/J51,0))</f>
        <v>3049</v>
      </c>
      <c r="Q96" s="89" t="str">
        <f>IF(D56="Ultrashort","us","line")</f>
        <v>line</v>
      </c>
    </row>
    <row r="97" spans="1:46" s="21" customFormat="1" ht="30" hidden="1" customHeight="1" thickBot="1">
      <c r="M97" s="248" t="s">
        <v>458</v>
      </c>
      <c r="N97" s="249"/>
      <c r="O97" s="249"/>
      <c r="P97" s="249"/>
      <c r="Q97" s="250"/>
    </row>
    <row r="98" spans="1:46" s="21" customFormat="1" ht="45" hidden="1" customHeight="1">
      <c r="M98" s="219" t="s">
        <v>459</v>
      </c>
      <c r="N98" s="220" t="s">
        <v>460</v>
      </c>
      <c r="O98" s="56" t="s">
        <v>461</v>
      </c>
      <c r="P98" s="57">
        <f>MAX(ROUNDUP(D79*D77/1000/8,0),P73+8)</f>
        <v>20</v>
      </c>
      <c r="Q98" s="124" t="s">
        <v>462</v>
      </c>
    </row>
    <row r="99" spans="1:46" s="21" customFormat="1" ht="30" hidden="1" customHeight="1" thickBot="1">
      <c r="M99" s="136" t="s">
        <v>463</v>
      </c>
      <c r="N99" s="137" t="s">
        <v>464</v>
      </c>
      <c r="O99" s="138" t="s">
        <v>465</v>
      </c>
      <c r="P99" s="139">
        <f>ROUNDDOWN((P93-(P90+P89+P88))/(P84+P86+2),0)</f>
        <v>864757</v>
      </c>
      <c r="Q99" s="140" t="s">
        <v>462</v>
      </c>
    </row>
    <row r="100" spans="1:46" s="21" customFormat="1" ht="18.7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</row>
  </sheetData>
  <sheetProtection algorithmName="SHA-512" hashValue="P72VvyjOyeHNRTMJ/CpbH+twam6YlHJttTuzZgrrAL7v+gbXCHkYgmF9gaZ55npORMIdHaNmgPRO26RLz0/vhA==" saltValue="Jl3V84lxMs9nWWBuURn4iw==" spinCount="100000" sheet="1" objects="1" scenarios="1" selectLockedCells="1"/>
  <mergeCells count="29">
    <mergeCell ref="A93:E93"/>
    <mergeCell ref="M97:Q97"/>
    <mergeCell ref="A87:E87"/>
    <mergeCell ref="X87:X88"/>
    <mergeCell ref="A90:E90"/>
    <mergeCell ref="A74:E74"/>
    <mergeCell ref="A76:E76"/>
    <mergeCell ref="M77:Q77"/>
    <mergeCell ref="A81:E81"/>
    <mergeCell ref="A84:E84"/>
    <mergeCell ref="G84:K84"/>
    <mergeCell ref="S73:X73"/>
    <mergeCell ref="A50:E50"/>
    <mergeCell ref="A52:E52"/>
    <mergeCell ref="A54:E54"/>
    <mergeCell ref="G54:K54"/>
    <mergeCell ref="G59:K59"/>
    <mergeCell ref="A61:E61"/>
    <mergeCell ref="M64:Q64"/>
    <mergeCell ref="A65:E65"/>
    <mergeCell ref="G65:K65"/>
    <mergeCell ref="A67:D67"/>
    <mergeCell ref="A72:E72"/>
    <mergeCell ref="E48:E49"/>
    <mergeCell ref="G48:K48"/>
    <mergeCell ref="M48:Q48"/>
    <mergeCell ref="S48:AT48"/>
    <mergeCell ref="G49:K49"/>
    <mergeCell ref="M49:Q49"/>
  </mergeCells>
  <phoneticPr fontId="9" type="noConversion"/>
  <dataValidations count="41"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Input range:[8,'WidthMax'],and is an integer multiple of 8" sqref="C4">
      <formula1>AND((C4&lt;=C2),(C4&gt;=8),(MOD(C4,8)=0))</formula1>
    </dataValidation>
    <dataValidation type="custom" allowBlank="1" showInputMessage="1" showErrorMessage="1" error="Input range:[8,'HeightMax'],and is an integer multiple of 8" sqref="C5">
      <formula1>AND((C5&lt;=C3),(C5&gt;=8),(MOD(C5,8)=0))</formula1>
    </dataValidation>
    <dataValidation type="whole" allowBlank="1" showInputMessage="1" showErrorMessage="1" error="Set the value range:[ 0,'GevSCPDMaxValue']" sqref="C14">
      <formula1>0</formula1>
      <formula2>C15</formula2>
    </dataValidation>
    <dataValidation allowBlank="1" showInputMessage="1" showErrorMessage="1" error="输入范围是64~1024，步长为2" sqref="A1:C1"/>
    <dataValidation type="custom" allowBlank="1" showInputMessage="1" showErrorMessage="1" error="输入参数值为1或者2，并且当水平像素抽样不为1时不能输入" sqref="C6">
      <formula1>AND(OR((C6=1),(C6=2)),C8=1)</formula1>
    </dataValidation>
    <dataValidation type="custom" allowBlank="1" showInputMessage="1" showErrorMessage="1" error="输入参数值为1或者2，并且当垂直像素抽样不为1时不能输入" sqref="C7">
      <formula1>AND(OR((C7=1),(C7=2)),C9=1)</formula1>
    </dataValidation>
    <dataValidation type="whole" allowBlank="1" showInputMessage="1" showErrorMessage="1" error="The input range :[3,15000000]" sqref="C10">
      <formula1>3</formula1>
      <formula2>15000000</formula2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custom" allowBlank="1" showInputMessage="1" showErrorMessage="1" error="Set the value range :[ 0.1,10000.0], accurate to one decimal" sqref="C16">
      <formula1>AND(TRUNC(C16,1)=C16,(C16&gt;=0.1),(C16&lt;=10000))</formula1>
    </dataValidation>
    <dataValidation type="custom" allowBlank="1" showInputMessage="1" showErrorMessage="1" error="Please enter a 0 or 1" sqref="C21 C17">
      <formula1>OR((C17=0),(C17=1))</formula1>
    </dataValidation>
    <dataValidation type="custom" allowBlank="1" showInputMessage="1" showErrorMessage="1" error="Please enter 2500 or 1000" sqref="C18">
      <formula1>OR((C18=2500),(C18=1000))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type="custom" allowBlank="1" showInputMessage="1" showErrorMessage="1" error="Input 1 or 2" sqref="C8:C9">
      <formula1>AND(OR((C8=1),(C8=2)),C6=1)</formula1>
    </dataValidation>
    <dataValidation allowBlank="1" showInputMessage="1" showErrorMessage="1" error="Set the value to exceed the maximum" sqref="C15"/>
    <dataValidation allowBlank="1" showInputMessage="1" showErrorMessage="1" error="The setting value exceeds the reserved bandwidth range" sqref="C20"/>
    <dataValidation type="custom" allowBlank="1" showInputMessage="1" showErrorMessage="1" error="Please enter 8、12、RGB8 or BGR8" sqref="C12">
      <formula1>OR((C12=8),(C12=12),(C12="RGB8"),(C12="BGR8"))</formula1>
    </dataValidation>
    <dataValidation type="whole" allowBlank="1" showInputMessage="1" showErrorMessage="1" errorTitle="超出范围" error="触发延时的范围是0-3000000us" sqref="D66">
      <formula1>0</formula1>
      <formula2>3000000</formula2>
    </dataValidation>
    <dataValidation type="whole" allowBlank="1" showInputMessage="1" showErrorMessage="1" errorTitle="输入数值非法" error="最小值4，最大值D12" sqref="D70">
      <formula1>4</formula1>
      <formula2>C70</formula2>
    </dataValidation>
    <dataValidation type="list" allowBlank="1" showInputMessage="1" showErrorMessage="1" sqref="C49">
      <formula1>$AQ$4:$AQ$7</formula1>
    </dataValidation>
    <dataValidation type="whole" allowBlank="1" showInputMessage="1" showErrorMessage="1" errorTitle="超出范围" error="曝光延迟的范围是0-5000us" sqref="D58">
      <formula1>0</formula1>
      <formula2>5000</formula2>
    </dataValidation>
    <dataValidation type="list" allowBlank="1" showInputMessage="1" showErrorMessage="1" sqref="D53">
      <formula1>"8,12,RGB8,BGR8"</formula1>
    </dataValidation>
    <dataValidation type="whole" allowBlank="1" showInputMessage="1" showErrorMessage="1" errorTitle="超出范围" error="曝光时间的范围是14us-1s" sqref="D57">
      <formula1>10</formula1>
      <formula2>1000000</formula2>
    </dataValidation>
    <dataValidation type="whole" allowBlank="1" showInputMessage="1" showErrorMessage="1" errorTitle="输入数值非法" error="最小值2，最大值D13" sqref="D71">
      <formula1>2</formula1>
      <formula2>C71</formula2>
    </dataValidation>
    <dataValidation type="list" allowBlank="1" showInputMessage="1" showErrorMessage="1" sqref="D73 D75 D62:D63">
      <formula1>"0,1"</formula1>
    </dataValidation>
    <dataValidation type="list" allowBlank="1" showInputMessage="1" showErrorMessage="1" sqref="D77">
      <formula1>"1000,2500"</formula1>
    </dataValidation>
    <dataValidation type="custom" allowBlank="1" showInputMessage="1" showErrorMessage="1" sqref="D78">
      <formula1>AND(MOD(D78,4)=0,D78&gt;=512,D78&lt;=16384)</formula1>
    </dataValidation>
    <dataValidation type="list" allowBlank="1" showInputMessage="1" showErrorMessage="1" errorTitle="超出范围" error="0:关闭_x000a_1:打开" sqref="D82">
      <formula1>"0,1"</formula1>
    </dataValidation>
    <dataValidation type="decimal" allowBlank="1" showInputMessage="1" showErrorMessage="1" sqref="D83">
      <formula1>0.1</formula1>
      <formula2>10000</formula2>
    </dataValidation>
    <dataValidation type="whole" operator="lessThanOrEqual" allowBlank="1" showInputMessage="1" showErrorMessage="1" error="Binning/Skipping系数最大为2" prompt="设置水平Binning/Skipping时，需要同步修改水平ROI" sqref="D88 D85 D91">
      <formula1>2</formula1>
    </dataValidation>
    <dataValidation type="whole" operator="lessThanOrEqual" allowBlank="1" showInputMessage="1" showErrorMessage="1" error="Binning/Skipping系数最大为2" prompt="设置垂直Binning/Skipping时，需要同步修改垂直ROI" sqref="D89 D86 D92">
      <formula1>2</formula1>
    </dataValidation>
    <dataValidation type="list" allowBlank="1" showInputMessage="1" showErrorMessage="1" errorTitle="超出范围" error="曝光时间的范围是14us-1s" sqref="D55">
      <formula1>"Timed,TriggerWidth"</formula1>
    </dataValidation>
    <dataValidation type="whole" allowBlank="1" showInputMessage="1" showErrorMessage="1" errorTitle="输入数值非法" error="最小值2，最大值1000000" sqref="D60">
      <formula1>0</formula1>
      <formula2>1000000</formula2>
    </dataValidation>
    <dataValidation type="whole" operator="lessThanOrEqual" allowBlank="1" showInputMessage="1" showErrorMessage="1" sqref="D68:D69">
      <formula1>C70</formula1>
    </dataValidation>
    <dataValidation type="list" allowBlank="1" showInputMessage="1" showErrorMessage="1" errorTitle="超出范围" error="曝光时间的范围是14us-1s" sqref="D56">
      <formula1>"Standard,Ultrashort"</formula1>
    </dataValidation>
    <dataValidation type="whole" allowBlank="1" showInputMessage="1" showErrorMessage="1" errorTitle="设置值超出范围" error="预留带宽设置值超出范围" sqref="D80">
      <formula1>0</formula1>
      <formula2>J75</formula2>
    </dataValidation>
    <dataValidation type="whole" allowBlank="1" showInputMessage="1" showErrorMessage="1" errorTitle="设置值超出范围" error="包间隔设置值超出范围" sqref="D79">
      <formula1>0</formula1>
      <formula2>J73</formula2>
    </dataValidation>
    <dataValidation type="list" allowBlank="1" showInputMessage="1" showErrorMessage="1" sqref="D49">
      <formula1>"BPP8,BPP10,BPP12"</formula1>
    </dataValidation>
    <dataValidation type="whole" allowBlank="1" showInputMessage="1" showErrorMessage="1" errorTitle="输入数值非法" error="最小值4，最大值D12" sqref="D59">
      <formula1>0</formula1>
      <formula2>INT(J55*J51/1000)</formula2>
    </dataValidation>
    <dataValidation type="list" allowBlank="1" showInputMessage="1" showErrorMessage="1" prompt="突发采集模式只能在触发模式下选择" sqref="D64">
      <formula1>"Standard,HighSpeed"</formula1>
    </dataValidation>
    <dataValidation type="list" allowBlank="1" showInputMessage="1" showErrorMessage="1" sqref="J85">
      <formula1>"1,2,4"</formula1>
    </dataValidation>
  </dataValidation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0"/>
  <sheetViews>
    <sheetView topLeftCell="B1" workbookViewId="0">
      <selection activeCell="C8" sqref="C8"/>
    </sheetView>
  </sheetViews>
  <sheetFormatPr defaultRowHeight="13.5"/>
  <cols>
    <col min="1" max="1" width="22.75" hidden="1" customWidth="1"/>
    <col min="2" max="2" width="32.625" customWidth="1"/>
    <col min="3" max="3" width="16.625" customWidth="1"/>
    <col min="4" max="4" width="11.5" customWidth="1"/>
  </cols>
  <sheetData>
    <row r="1" spans="1:4">
      <c r="A1" s="12" t="s">
        <v>4</v>
      </c>
      <c r="B1" s="12"/>
      <c r="C1" s="13"/>
    </row>
    <row r="2" spans="1:4">
      <c r="A2" s="6" t="s">
        <v>5</v>
      </c>
      <c r="B2" s="6" t="s">
        <v>6</v>
      </c>
      <c r="C2" s="6">
        <f>C70</f>
        <v>2856</v>
      </c>
    </row>
    <row r="3" spans="1:4">
      <c r="A3" s="6" t="s">
        <v>7</v>
      </c>
      <c r="B3" s="6" t="s">
        <v>8</v>
      </c>
      <c r="C3" s="6">
        <f>C71</f>
        <v>2848</v>
      </c>
    </row>
    <row r="4" spans="1:4">
      <c r="A4" s="12" t="s">
        <v>9</v>
      </c>
      <c r="B4" s="12" t="s">
        <v>10</v>
      </c>
      <c r="C4" s="14">
        <v>2856</v>
      </c>
      <c r="D4" s="15" t="str">
        <f>IF(OR(C4&gt;C2,C4&lt;8),B41,"")</f>
        <v/>
      </c>
    </row>
    <row r="5" spans="1:4">
      <c r="A5" s="12" t="s">
        <v>11</v>
      </c>
      <c r="B5" s="12" t="s">
        <v>12</v>
      </c>
      <c r="C5" s="14">
        <v>2848</v>
      </c>
      <c r="D5" s="15" t="str">
        <f>IF(OR(C5&gt;C3,C5&lt;8),B42,"")</f>
        <v/>
      </c>
    </row>
    <row r="6" spans="1:4" hidden="1">
      <c r="A6" s="6" t="s">
        <v>13</v>
      </c>
      <c r="B6" s="6" t="s">
        <v>14</v>
      </c>
      <c r="C6" s="7">
        <v>1</v>
      </c>
    </row>
    <row r="7" spans="1:4" hidden="1">
      <c r="A7" s="6" t="s">
        <v>15</v>
      </c>
      <c r="B7" s="6" t="s">
        <v>16</v>
      </c>
      <c r="C7" s="7">
        <v>1</v>
      </c>
    </row>
    <row r="8" spans="1:4">
      <c r="A8" s="6" t="s">
        <v>17</v>
      </c>
      <c r="B8" s="6" t="s">
        <v>469</v>
      </c>
      <c r="C8" s="7">
        <v>1</v>
      </c>
      <c r="D8" s="16" t="str">
        <f>IF(C8&lt;&gt;C9,B44,"")</f>
        <v/>
      </c>
    </row>
    <row r="9" spans="1:4">
      <c r="A9" s="6" t="s">
        <v>18</v>
      </c>
      <c r="B9" s="6" t="s">
        <v>470</v>
      </c>
      <c r="C9" s="7">
        <v>1</v>
      </c>
      <c r="D9" s="16"/>
    </row>
    <row r="10" spans="1:4">
      <c r="A10" s="12" t="s">
        <v>19</v>
      </c>
      <c r="B10" s="12" t="s">
        <v>20</v>
      </c>
      <c r="C10" s="14">
        <v>20000</v>
      </c>
    </row>
    <row r="11" spans="1:4">
      <c r="A11" s="12" t="s">
        <v>21</v>
      </c>
      <c r="B11" s="12" t="s">
        <v>22</v>
      </c>
      <c r="C11" s="14">
        <v>0</v>
      </c>
    </row>
    <row r="12" spans="1:4">
      <c r="A12" s="12" t="s">
        <v>23</v>
      </c>
      <c r="B12" s="12" t="s">
        <v>476</v>
      </c>
      <c r="C12" s="221">
        <v>8</v>
      </c>
    </row>
    <row r="13" spans="1:4">
      <c r="A13" s="12" t="s">
        <v>24</v>
      </c>
      <c r="B13" s="12" t="s">
        <v>25</v>
      </c>
      <c r="C13" s="14">
        <v>1500</v>
      </c>
    </row>
    <row r="14" spans="1:4">
      <c r="A14" s="12" t="s">
        <v>26</v>
      </c>
      <c r="B14" s="12" t="s">
        <v>27</v>
      </c>
      <c r="C14" s="14">
        <v>0</v>
      </c>
    </row>
    <row r="15" spans="1:4">
      <c r="A15" s="12" t="s">
        <v>28</v>
      </c>
      <c r="B15" s="12" t="s">
        <v>29</v>
      </c>
      <c r="C15" s="17">
        <f>J73</f>
        <v>1704365</v>
      </c>
    </row>
    <row r="16" spans="1:4">
      <c r="A16" s="12" t="s">
        <v>30</v>
      </c>
      <c r="B16" s="12" t="s">
        <v>31</v>
      </c>
      <c r="C16" s="14">
        <v>35</v>
      </c>
    </row>
    <row r="17" spans="1:4">
      <c r="A17" s="12" t="s">
        <v>32</v>
      </c>
      <c r="B17" s="12" t="s">
        <v>33</v>
      </c>
      <c r="C17" s="14">
        <v>0</v>
      </c>
    </row>
    <row r="18" spans="1:4">
      <c r="A18" s="12" t="s">
        <v>34</v>
      </c>
      <c r="B18" s="12" t="s">
        <v>35</v>
      </c>
      <c r="C18" s="14">
        <v>2500</v>
      </c>
    </row>
    <row r="19" spans="1:4">
      <c r="A19" s="12" t="s">
        <v>36</v>
      </c>
      <c r="B19" s="12" t="s">
        <v>37</v>
      </c>
      <c r="C19" s="14">
        <v>5</v>
      </c>
    </row>
    <row r="20" spans="1:4">
      <c r="A20" s="12" t="s">
        <v>38</v>
      </c>
      <c r="B20" s="12" t="s">
        <v>39</v>
      </c>
      <c r="C20" s="17">
        <f>J75</f>
        <v>99</v>
      </c>
    </row>
    <row r="21" spans="1:4">
      <c r="A21" s="17" t="s">
        <v>46</v>
      </c>
      <c r="B21" s="17" t="s">
        <v>47</v>
      </c>
      <c r="C21" s="14">
        <v>0</v>
      </c>
    </row>
    <row r="22" spans="1:4">
      <c r="A22" s="12"/>
      <c r="B22" s="12"/>
      <c r="C22" s="17"/>
    </row>
    <row r="23" spans="1:4" ht="14.25">
      <c r="A23" s="18" t="s">
        <v>44</v>
      </c>
      <c r="B23" s="18"/>
      <c r="C23" s="19"/>
    </row>
    <row r="24" spans="1:4" ht="14.25">
      <c r="A24" s="18" t="s">
        <v>43</v>
      </c>
      <c r="B24" s="18" t="s">
        <v>45</v>
      </c>
      <c r="C24" s="20">
        <f>D94</f>
        <v>34.550668555436545</v>
      </c>
      <c r="D24" s="15" t="str">
        <f>IF(B39=1,B43,"")</f>
        <v/>
      </c>
    </row>
    <row r="37" spans="1:46" hidden="1"/>
    <row r="38" spans="1:46" hidden="1">
      <c r="B38" s="5" t="s">
        <v>472</v>
      </c>
    </row>
    <row r="39" spans="1:46" hidden="1">
      <c r="B39">
        <f>IF(OR(OR(C4&gt;C2,C4&lt;8),OR(C5&gt;C3,C5&lt;8)),1,0)</f>
        <v>0</v>
      </c>
    </row>
    <row r="40" spans="1:46" hidden="1">
      <c r="B40" s="5" t="s">
        <v>467</v>
      </c>
    </row>
    <row r="41" spans="1:46" hidden="1">
      <c r="B41" s="5" t="s">
        <v>466</v>
      </c>
    </row>
    <row r="42" spans="1:46" hidden="1">
      <c r="B42" s="5" t="s">
        <v>473</v>
      </c>
    </row>
    <row r="43" spans="1:46" hidden="1">
      <c r="B43" s="5" t="s">
        <v>468</v>
      </c>
    </row>
    <row r="44" spans="1:46" hidden="1">
      <c r="B44" s="5" t="s">
        <v>471</v>
      </c>
    </row>
    <row r="45" spans="1:46" hidden="1"/>
    <row r="46" spans="1:46" hidden="1">
      <c r="B46" s="5"/>
    </row>
    <row r="47" spans="1:46" s="21" customFormat="1" ht="30" hidden="1" customHeight="1" thickBot="1"/>
    <row r="48" spans="1:46" s="21" customFormat="1" ht="30" hidden="1" customHeight="1" thickBot="1">
      <c r="A48" s="22" t="s">
        <v>91</v>
      </c>
      <c r="B48" s="22" t="s">
        <v>92</v>
      </c>
      <c r="C48" s="23" t="s">
        <v>816</v>
      </c>
      <c r="D48" s="23" t="s">
        <v>817</v>
      </c>
      <c r="E48" s="251" t="s">
        <v>818</v>
      </c>
      <c r="F48" s="24"/>
      <c r="G48" s="253" t="s">
        <v>93</v>
      </c>
      <c r="H48" s="254"/>
      <c r="I48" s="254"/>
      <c r="J48" s="254"/>
      <c r="K48" s="255"/>
      <c r="L48" s="25"/>
      <c r="M48" s="253" t="s">
        <v>150</v>
      </c>
      <c r="N48" s="254"/>
      <c r="O48" s="254"/>
      <c r="P48" s="254"/>
      <c r="Q48" s="255"/>
      <c r="R48" s="25"/>
      <c r="S48" s="256" t="s">
        <v>151</v>
      </c>
      <c r="T48" s="257"/>
      <c r="U48" s="257"/>
      <c r="V48" s="257"/>
      <c r="W48" s="257"/>
      <c r="X48" s="257"/>
      <c r="Y48" s="257"/>
      <c r="Z48" s="257"/>
      <c r="AA48" s="257"/>
      <c r="AB48" s="257"/>
      <c r="AC48" s="257"/>
      <c r="AD48" s="257"/>
      <c r="AE48" s="257"/>
      <c r="AF48" s="257"/>
      <c r="AG48" s="257"/>
      <c r="AH48" s="257"/>
      <c r="AI48" s="257"/>
      <c r="AJ48" s="257"/>
      <c r="AK48" s="257"/>
      <c r="AL48" s="257"/>
      <c r="AM48" s="257"/>
      <c r="AN48" s="257"/>
      <c r="AO48" s="257"/>
      <c r="AP48" s="257"/>
      <c r="AQ48" s="257"/>
      <c r="AR48" s="257"/>
      <c r="AS48" s="257"/>
      <c r="AT48" s="258"/>
    </row>
    <row r="49" spans="1:46" s="21" customFormat="1" ht="30" hidden="1" customHeight="1" thickBot="1">
      <c r="A49" s="22" t="s">
        <v>148</v>
      </c>
      <c r="B49" s="22" t="s">
        <v>149</v>
      </c>
      <c r="C49" s="23" t="s">
        <v>216</v>
      </c>
      <c r="D49" s="23" t="s">
        <v>221</v>
      </c>
      <c r="E49" s="252"/>
      <c r="F49" s="24"/>
      <c r="G49" s="259" t="s">
        <v>43</v>
      </c>
      <c r="H49" s="260"/>
      <c r="I49" s="260"/>
      <c r="J49" s="260"/>
      <c r="K49" s="261"/>
      <c r="L49" s="25"/>
      <c r="M49" s="259" t="s">
        <v>204</v>
      </c>
      <c r="N49" s="260"/>
      <c r="O49" s="260"/>
      <c r="P49" s="260"/>
      <c r="Q49" s="261"/>
      <c r="R49" s="25"/>
      <c r="S49" s="26" t="s">
        <v>153</v>
      </c>
      <c r="T49" s="27" t="s">
        <v>154</v>
      </c>
      <c r="U49" s="27" t="s">
        <v>819</v>
      </c>
      <c r="V49" s="27" t="s">
        <v>223</v>
      </c>
      <c r="W49" s="27" t="s">
        <v>155</v>
      </c>
      <c r="X49" s="27" t="s">
        <v>156</v>
      </c>
      <c r="Y49" s="27" t="s">
        <v>197</v>
      </c>
      <c r="Z49" s="27" t="s">
        <v>198</v>
      </c>
      <c r="AA49" s="27" t="s">
        <v>199</v>
      </c>
      <c r="AB49" s="27" t="s">
        <v>200</v>
      </c>
      <c r="AC49" s="27" t="s">
        <v>201</v>
      </c>
      <c r="AD49" s="27" t="s">
        <v>202</v>
      </c>
      <c r="AE49" s="27" t="s">
        <v>820</v>
      </c>
      <c r="AF49" s="27" t="s">
        <v>225</v>
      </c>
      <c r="AG49" s="27" t="s">
        <v>821</v>
      </c>
      <c r="AH49" s="27" t="s">
        <v>822</v>
      </c>
      <c r="AI49" s="27" t="s">
        <v>228</v>
      </c>
      <c r="AJ49" s="27" t="s">
        <v>229</v>
      </c>
      <c r="AK49" s="27" t="s">
        <v>823</v>
      </c>
      <c r="AL49" s="27" t="s">
        <v>824</v>
      </c>
      <c r="AM49" s="27" t="s">
        <v>232</v>
      </c>
      <c r="AN49" s="27" t="s">
        <v>233</v>
      </c>
      <c r="AO49" s="27" t="s">
        <v>825</v>
      </c>
      <c r="AP49" s="27" t="s">
        <v>235</v>
      </c>
      <c r="AQ49" s="27" t="s">
        <v>826</v>
      </c>
      <c r="AR49" s="27" t="s">
        <v>237</v>
      </c>
      <c r="AS49" s="27" t="s">
        <v>238</v>
      </c>
      <c r="AT49" s="28" t="s">
        <v>827</v>
      </c>
    </row>
    <row r="50" spans="1:46" s="21" customFormat="1" ht="30" hidden="1" customHeight="1" thickBot="1">
      <c r="A50" s="253" t="s">
        <v>152</v>
      </c>
      <c r="B50" s="254"/>
      <c r="C50" s="254"/>
      <c r="D50" s="254"/>
      <c r="E50" s="255"/>
      <c r="F50" s="24"/>
      <c r="G50" s="29" t="s">
        <v>96</v>
      </c>
      <c r="H50" s="30" t="s">
        <v>94</v>
      </c>
      <c r="I50" s="30" t="s">
        <v>98</v>
      </c>
      <c r="J50" s="30" t="s">
        <v>99</v>
      </c>
      <c r="K50" s="31" t="s">
        <v>100</v>
      </c>
      <c r="L50" s="25"/>
      <c r="M50" s="32" t="s">
        <v>96</v>
      </c>
      <c r="N50" s="33" t="s">
        <v>94</v>
      </c>
      <c r="O50" s="33" t="s">
        <v>98</v>
      </c>
      <c r="P50" s="33" t="s">
        <v>157</v>
      </c>
      <c r="Q50" s="34" t="s">
        <v>100</v>
      </c>
      <c r="R50" s="25"/>
      <c r="S50" s="35" t="s">
        <v>828</v>
      </c>
      <c r="T50" s="36" t="s">
        <v>829</v>
      </c>
      <c r="U50" s="36">
        <v>37500</v>
      </c>
      <c r="V50" s="37">
        <v>75</v>
      </c>
      <c r="W50" s="38">
        <v>1</v>
      </c>
      <c r="X50" s="37">
        <v>8</v>
      </c>
      <c r="Y50" s="38">
        <v>0</v>
      </c>
      <c r="Z50" s="38">
        <v>0</v>
      </c>
      <c r="AA50" s="36">
        <f>5328/D86</f>
        <v>5328</v>
      </c>
      <c r="AB50" s="36">
        <v>8</v>
      </c>
      <c r="AC50" s="36">
        <v>5328</v>
      </c>
      <c r="AD50" s="36">
        <v>4608</v>
      </c>
      <c r="AE50" s="39">
        <f>IF(OR(D85=2,D86=2),IF(D53=8,198,283.5),IF(D53=8,364.5,565.5))</f>
        <v>364.5</v>
      </c>
      <c r="AF50" s="40">
        <v>110</v>
      </c>
      <c r="AG50" s="39">
        <v>26</v>
      </c>
      <c r="AH50" s="39">
        <v>2460</v>
      </c>
      <c r="AI50" s="39"/>
      <c r="AJ50" s="36" t="s">
        <v>242</v>
      </c>
      <c r="AK50" s="37">
        <v>60000</v>
      </c>
      <c r="AL50" s="39">
        <v>5328</v>
      </c>
      <c r="AM50" s="39">
        <v>4608</v>
      </c>
      <c r="AN50" s="36">
        <v>12</v>
      </c>
      <c r="AO50" s="36">
        <v>312.5</v>
      </c>
      <c r="AP50" s="36">
        <v>0</v>
      </c>
      <c r="AQ50" s="36" t="s">
        <v>830</v>
      </c>
      <c r="AR50" s="36">
        <v>0</v>
      </c>
      <c r="AS50" s="36">
        <v>20</v>
      </c>
      <c r="AT50" s="36">
        <f>IF(OR(D85=2,D86=2),IF(D53=8,430,568),IF(D53=8,730,1132))</f>
        <v>730</v>
      </c>
    </row>
    <row r="51" spans="1:46" s="21" customFormat="1" ht="30" hidden="1" customHeight="1" thickBot="1">
      <c r="A51" s="32" t="s">
        <v>96</v>
      </c>
      <c r="B51" s="33" t="s">
        <v>94</v>
      </c>
      <c r="C51" s="33" t="s">
        <v>97</v>
      </c>
      <c r="D51" s="33" t="s">
        <v>95</v>
      </c>
      <c r="E51" s="41" t="s">
        <v>100</v>
      </c>
      <c r="F51" s="24"/>
      <c r="G51" s="42" t="s">
        <v>244</v>
      </c>
      <c r="H51" s="37" t="s">
        <v>50</v>
      </c>
      <c r="I51" s="37" t="s">
        <v>831</v>
      </c>
      <c r="J51" s="226">
        <f>IF(D56="Standard",ROUNDUP(1000000*P55/P52,0),ROUNDUP(1000000*P56/75294,0))</f>
        <v>5920</v>
      </c>
      <c r="K51" s="43" t="s">
        <v>104</v>
      </c>
      <c r="L51" s="25"/>
      <c r="M51" s="44" t="s">
        <v>49</v>
      </c>
      <c r="N51" s="45" t="s">
        <v>48</v>
      </c>
      <c r="O51" s="45" t="s">
        <v>205</v>
      </c>
      <c r="P51" s="46">
        <f>VLOOKUP($C$48,$S$50:$AQ$58,4,FALSE)</f>
        <v>75.293999999999997</v>
      </c>
      <c r="Q51" s="47" t="s">
        <v>147</v>
      </c>
      <c r="R51" s="25"/>
      <c r="S51" s="48" t="s">
        <v>245</v>
      </c>
      <c r="T51" s="49" t="s">
        <v>246</v>
      </c>
      <c r="U51" s="49">
        <v>37500</v>
      </c>
      <c r="V51" s="49">
        <v>75</v>
      </c>
      <c r="W51" s="50">
        <v>1</v>
      </c>
      <c r="X51" s="50">
        <v>8</v>
      </c>
      <c r="Y51" s="50">
        <v>4</v>
      </c>
      <c r="Z51" s="50">
        <v>4</v>
      </c>
      <c r="AA51" s="49">
        <f>4504/D86</f>
        <v>4504</v>
      </c>
      <c r="AB51" s="49">
        <v>8</v>
      </c>
      <c r="AC51" s="49">
        <v>4504</v>
      </c>
      <c r="AD51" s="49">
        <v>4504</v>
      </c>
      <c r="AE51" s="51">
        <f>IF(OR(D85=2,D86=2),IF(D53=8,214.5,239.25),IF(D53=8,313.5,478.5))</f>
        <v>313.5</v>
      </c>
      <c r="AF51" s="51">
        <v>124</v>
      </c>
      <c r="AG51" s="52">
        <v>30</v>
      </c>
      <c r="AH51" s="52">
        <v>2460</v>
      </c>
      <c r="AI51" s="51"/>
      <c r="AJ51" s="49" t="s">
        <v>242</v>
      </c>
      <c r="AK51" s="53">
        <v>60000</v>
      </c>
      <c r="AL51" s="51">
        <v>4504</v>
      </c>
      <c r="AM51" s="51">
        <v>4504</v>
      </c>
      <c r="AN51" s="53">
        <v>14</v>
      </c>
      <c r="AO51" s="53">
        <v>312.5</v>
      </c>
      <c r="AP51" s="53">
        <v>0</v>
      </c>
      <c r="AQ51" s="53" t="s">
        <v>830</v>
      </c>
      <c r="AR51" s="53">
        <v>0</v>
      </c>
      <c r="AS51" s="53">
        <v>20</v>
      </c>
      <c r="AT51" s="36">
        <f>IF(OR(D85=2,D86=2),IF(D53=8,430,480),IF(D53=8,628,958))</f>
        <v>628</v>
      </c>
    </row>
    <row r="52" spans="1:46" s="21" customFormat="1" ht="181.5" hidden="1" customHeight="1" thickBot="1">
      <c r="A52" s="259" t="s">
        <v>23</v>
      </c>
      <c r="B52" s="260"/>
      <c r="C52" s="260"/>
      <c r="D52" s="260"/>
      <c r="E52" s="261"/>
      <c r="F52" s="24"/>
      <c r="G52" s="54" t="s">
        <v>207</v>
      </c>
      <c r="H52" s="55" t="s">
        <v>42</v>
      </c>
      <c r="I52" s="56" t="s">
        <v>247</v>
      </c>
      <c r="J52" s="57">
        <f>IF(D56="Ultrashort",IF(D62=1,IF(D64="HighSpeed",ROUNDUP(MAX(J55,J56,J57),0),ROUNDUP(MAX(J55,J56,J57,P96),0)),ROUNDUP(MAX(J55,J56,J57,J58),0)),IF(D62=1,IF(D64="HighSpeed",IF(D55="TriggerWidth",ROUNDUP(MAX(J55,J77,J57)*J51/1000,0),ROUNDUP(MAX(J55,J56,J57)*J51/1000,0)),IF(D55="TriggerWidth",ROUNDUP(MAX(J55,J77,J57,P96)*J51/1000,0),ROUNDUP(MAX(J55,J56,J57,P96)*J51/1000,0))),ROUNDUP(MAX(J55,J56,J57,J58)*J51/1000,0)))</f>
        <v>28943</v>
      </c>
      <c r="K52" s="54" t="s">
        <v>110</v>
      </c>
      <c r="M52" s="58" t="s">
        <v>832</v>
      </c>
      <c r="N52" s="59" t="s">
        <v>249</v>
      </c>
      <c r="O52" s="59" t="s">
        <v>250</v>
      </c>
      <c r="P52" s="60">
        <f>VLOOKUP($C$48,$S$50:$AS$58,3,FALSE)</f>
        <v>37647</v>
      </c>
      <c r="Q52" s="47" t="s">
        <v>251</v>
      </c>
      <c r="S52" s="48" t="s">
        <v>252</v>
      </c>
      <c r="T52" s="49" t="s">
        <v>253</v>
      </c>
      <c r="U52" s="226">
        <v>37647</v>
      </c>
      <c r="V52" s="226">
        <v>75.293999999999997</v>
      </c>
      <c r="W52" s="50">
        <v>1</v>
      </c>
      <c r="X52" s="50">
        <v>8</v>
      </c>
      <c r="Y52" s="50">
        <v>0</v>
      </c>
      <c r="Z52" s="50">
        <v>0</v>
      </c>
      <c r="AA52" s="49">
        <f>5328/D86</f>
        <v>5328</v>
      </c>
      <c r="AB52" s="49">
        <v>8</v>
      </c>
      <c r="AC52" s="49">
        <v>5328</v>
      </c>
      <c r="AD52" s="49">
        <v>3040</v>
      </c>
      <c r="AE52" s="227">
        <f>IF(OR(D85=2,D86=2),IF(D53=8,215.3,IF(D53="rgb888",623.4,415.6)),IF(D53=8,415.6,IF(D53="rgb888",1245.4,829.7)))</f>
        <v>415.6</v>
      </c>
      <c r="AF52" s="51">
        <v>110</v>
      </c>
      <c r="AG52" s="52">
        <v>26</v>
      </c>
      <c r="AH52" s="39">
        <v>2460</v>
      </c>
      <c r="AI52" s="51"/>
      <c r="AJ52" s="36" t="s">
        <v>158</v>
      </c>
      <c r="AK52" s="37">
        <v>50000</v>
      </c>
      <c r="AL52" s="51">
        <v>5328</v>
      </c>
      <c r="AM52" s="51">
        <v>3040</v>
      </c>
      <c r="AN52" s="53">
        <v>18</v>
      </c>
      <c r="AO52" s="36">
        <v>312.5</v>
      </c>
      <c r="AP52" s="36">
        <v>0</v>
      </c>
      <c r="AQ52" s="36" t="s">
        <v>216</v>
      </c>
      <c r="AR52" s="36">
        <v>0</v>
      </c>
      <c r="AS52" s="36">
        <v>20</v>
      </c>
      <c r="AT52" s="226">
        <f>IF(OR(D85=2,D86=2),IF(D53=8,428,IF(D53="rgb888",1244,828)),IF(D53=8,828,IF(D53="rgb888",2488,1656)))</f>
        <v>828</v>
      </c>
    </row>
    <row r="53" spans="1:46" s="21" customFormat="1" ht="30" hidden="1" customHeight="1" thickBot="1">
      <c r="A53" s="61" t="s">
        <v>206</v>
      </c>
      <c r="B53" s="62" t="s">
        <v>23</v>
      </c>
      <c r="C53" s="62">
        <v>8</v>
      </c>
      <c r="D53" s="63">
        <f>C12</f>
        <v>8</v>
      </c>
      <c r="E53" s="64" t="s">
        <v>142</v>
      </c>
      <c r="F53" s="24"/>
      <c r="G53" s="65" t="s">
        <v>208</v>
      </c>
      <c r="H53" s="66" t="s">
        <v>43</v>
      </c>
      <c r="I53" s="67" t="s">
        <v>209</v>
      </c>
      <c r="J53" s="68">
        <f>1000000/J52</f>
        <v>34.550668555436545</v>
      </c>
      <c r="K53" s="65" t="s">
        <v>113</v>
      </c>
      <c r="M53" s="58" t="s">
        <v>833</v>
      </c>
      <c r="N53" s="69" t="s">
        <v>834</v>
      </c>
      <c r="O53" s="69" t="s">
        <v>835</v>
      </c>
      <c r="P53" s="70">
        <f>VLOOKUP($C$48,$S$50:$AS$58,7,FALSE)</f>
        <v>0</v>
      </c>
      <c r="Q53" s="71" t="s">
        <v>159</v>
      </c>
      <c r="S53" s="72" t="s">
        <v>257</v>
      </c>
      <c r="T53" s="73" t="s">
        <v>836</v>
      </c>
      <c r="U53" s="228">
        <v>37647</v>
      </c>
      <c r="V53" s="228">
        <v>75.293999999999997</v>
      </c>
      <c r="W53" s="74">
        <v>1</v>
      </c>
      <c r="X53" s="74">
        <v>8</v>
      </c>
      <c r="Y53" s="74">
        <v>16</v>
      </c>
      <c r="Z53" s="74">
        <v>4</v>
      </c>
      <c r="AA53" s="229">
        <f>4096/D86/D92</f>
        <v>4096</v>
      </c>
      <c r="AB53" s="73">
        <v>8</v>
      </c>
      <c r="AC53" s="73">
        <v>4096</v>
      </c>
      <c r="AD53" s="73">
        <v>3000</v>
      </c>
      <c r="AE53" s="230">
        <f>IF(OR(D85=2,D86=2),IF(D53=8,209.31732,IF(OR(D53="RGB8",D53="BGR8"),478.86984,319.24656)),IF(AND(D91=1,D92=1),IF(D53=8,319.24656,IF(OR(D53="RGB8",D53="BGR8"),957.73968,638.49312)),IF(D53=8,159.62328,319.24656)))</f>
        <v>319.24655999999999</v>
      </c>
      <c r="AF53" s="75">
        <v>128</v>
      </c>
      <c r="AG53" s="75">
        <v>62</v>
      </c>
      <c r="AH53" s="75">
        <v>2470</v>
      </c>
      <c r="AI53" s="75"/>
      <c r="AJ53" s="36" t="s">
        <v>158</v>
      </c>
      <c r="AK53" s="73">
        <v>40000</v>
      </c>
      <c r="AL53" s="75">
        <v>4096</v>
      </c>
      <c r="AM53" s="75">
        <v>3000</v>
      </c>
      <c r="AN53" s="73">
        <v>23</v>
      </c>
      <c r="AO53" s="73">
        <v>312.5</v>
      </c>
      <c r="AP53" s="73">
        <v>0</v>
      </c>
      <c r="AQ53" s="36" t="s">
        <v>216</v>
      </c>
      <c r="AR53" s="73">
        <v>0</v>
      </c>
      <c r="AS53" s="73">
        <v>20</v>
      </c>
      <c r="AT53" s="231">
        <f>IF(OR(D85=2,D86=2),IF(D53=8,416,IF(OR(D53="RGB8",D53="BGR8"),954,636)),IF(AND(D91=1,D92=1),IF(D53=8,636,IF(OR(D53="RGB8",D53="BGR8"),1912,1274)),IF(D53=8,316,636)))</f>
        <v>636</v>
      </c>
    </row>
    <row r="54" spans="1:46" s="21" customFormat="1" ht="30" hidden="1" customHeight="1" thickBot="1">
      <c r="A54" s="259" t="s">
        <v>19</v>
      </c>
      <c r="B54" s="260"/>
      <c r="C54" s="260"/>
      <c r="D54" s="260"/>
      <c r="E54" s="261"/>
      <c r="F54" s="24"/>
      <c r="G54" s="259" t="s">
        <v>121</v>
      </c>
      <c r="H54" s="260"/>
      <c r="I54" s="260"/>
      <c r="J54" s="260"/>
      <c r="K54" s="261"/>
      <c r="M54" s="58" t="s">
        <v>259</v>
      </c>
      <c r="N54" s="69" t="s">
        <v>837</v>
      </c>
      <c r="O54" s="69" t="s">
        <v>835</v>
      </c>
      <c r="P54" s="70">
        <f>VLOOKUP($C$48,$S$50:$AS$58,8,FALSE)</f>
        <v>0</v>
      </c>
      <c r="Q54" s="76" t="s">
        <v>838</v>
      </c>
      <c r="S54" s="72" t="s">
        <v>261</v>
      </c>
      <c r="T54" s="73" t="s">
        <v>262</v>
      </c>
      <c r="U54" s="228">
        <v>37647</v>
      </c>
      <c r="V54" s="228">
        <v>75.293999999999997</v>
      </c>
      <c r="W54" s="74">
        <v>1</v>
      </c>
      <c r="X54" s="74">
        <v>8</v>
      </c>
      <c r="Y54" s="74">
        <v>12</v>
      </c>
      <c r="Z54" s="74">
        <v>8</v>
      </c>
      <c r="AA54" s="229">
        <f>2448/D86/D92</f>
        <v>2448</v>
      </c>
      <c r="AB54" s="73">
        <v>8</v>
      </c>
      <c r="AC54" s="73">
        <v>2448</v>
      </c>
      <c r="AD54" s="73">
        <v>2048</v>
      </c>
      <c r="AE54" s="230">
        <f>IF(OR(D85=2,D86=2),IF(D53=10,191.24676,IF(D53="rgb888",286.1172,209.31732)),IF(AND(D91=1,D92=1),IF(D53=8,209.31732,IF(D53="rgb888",572.2344,382.49352)),IF(D53=8,108.42336,191.24676)))</f>
        <v>209.31732</v>
      </c>
      <c r="AF54" s="75">
        <v>168</v>
      </c>
      <c r="AG54" s="75">
        <v>86</v>
      </c>
      <c r="AH54" s="75">
        <v>2470</v>
      </c>
      <c r="AI54" s="75"/>
      <c r="AJ54" s="36" t="s">
        <v>158</v>
      </c>
      <c r="AK54" s="73">
        <v>10000</v>
      </c>
      <c r="AL54" s="75">
        <v>2448</v>
      </c>
      <c r="AM54" s="75">
        <v>2048</v>
      </c>
      <c r="AN54" s="73">
        <v>56</v>
      </c>
      <c r="AO54" s="73">
        <v>312.5</v>
      </c>
      <c r="AP54" s="73">
        <v>0</v>
      </c>
      <c r="AQ54" s="36" t="s">
        <v>216</v>
      </c>
      <c r="AR54" s="73">
        <v>0</v>
      </c>
      <c r="AS54" s="73">
        <v>20</v>
      </c>
      <c r="AT54" s="231">
        <f>IF(OR(D85=2,D86=2),IF(D53=10,380,IF(D53="rgb888",570,416)),IF(AND(D91=1,D92=1),IF(D53=8,416,IF(D53="rgb888",1142,762)),IF(D53=8,214,380)))</f>
        <v>416</v>
      </c>
    </row>
    <row r="55" spans="1:46" s="21" customFormat="1" ht="30" hidden="1" customHeight="1" thickBot="1">
      <c r="A55" s="44" t="s">
        <v>839</v>
      </c>
      <c r="B55" s="45" t="s">
        <v>840</v>
      </c>
      <c r="C55" s="45" t="s">
        <v>160</v>
      </c>
      <c r="D55" s="77" t="s">
        <v>160</v>
      </c>
      <c r="E55" s="78"/>
      <c r="F55" s="24"/>
      <c r="G55" s="43" t="s">
        <v>124</v>
      </c>
      <c r="H55" s="79" t="s">
        <v>125</v>
      </c>
      <c r="I55" s="80" t="s">
        <v>841</v>
      </c>
      <c r="J55" s="201">
        <f>IF(D56="Ultrashort",ROUNDUP((D71+P57)*J51/1000,0)+10,D71+P57)</f>
        <v>3032</v>
      </c>
      <c r="K55" s="82" t="str">
        <f>IF(D56="Ultrashort","us","line")</f>
        <v>line</v>
      </c>
      <c r="M55" s="58" t="s">
        <v>842</v>
      </c>
      <c r="N55" s="69" t="s">
        <v>267</v>
      </c>
      <c r="O55" s="69" t="s">
        <v>256</v>
      </c>
      <c r="P55" s="70">
        <f>VLOOKUP($C$48,$S$50:$AS$58,13,FALSE)</f>
        <v>222.87024</v>
      </c>
      <c r="Q55" s="76" t="s">
        <v>268</v>
      </c>
      <c r="S55" s="232" t="s">
        <v>269</v>
      </c>
      <c r="T55" s="233" t="s">
        <v>843</v>
      </c>
      <c r="U55" s="234">
        <v>37647</v>
      </c>
      <c r="V55" s="234">
        <v>75.293999999999997</v>
      </c>
      <c r="W55" s="235">
        <v>1</v>
      </c>
      <c r="X55" s="235">
        <v>8</v>
      </c>
      <c r="Y55" s="235">
        <v>8</v>
      </c>
      <c r="Z55" s="235">
        <v>4</v>
      </c>
      <c r="AA55" s="236">
        <f>2840/D86/D92</f>
        <v>2840</v>
      </c>
      <c r="AB55" s="233">
        <v>8</v>
      </c>
      <c r="AC55" s="233">
        <v>2840</v>
      </c>
      <c r="AD55" s="233">
        <v>2840</v>
      </c>
      <c r="AE55" s="237">
        <f>IF(OR(D85=2,D86=2),IF(D53=8,209.31732,IF(D53="rgb888",332.79948,221.36436)),IF(AND(D91=1,D92=1),IF(D53=8,221.36436,IF(D53="rgb888",664.09308,442.72872)),IF(D53=8,120.4704,221.36436)))</f>
        <v>221.36436</v>
      </c>
      <c r="AF55" s="238">
        <v>160</v>
      </c>
      <c r="AG55" s="238">
        <v>82</v>
      </c>
      <c r="AH55" s="238">
        <v>2470</v>
      </c>
      <c r="AI55" s="238"/>
      <c r="AJ55" s="153" t="s">
        <v>158</v>
      </c>
      <c r="AK55" s="233">
        <v>20000</v>
      </c>
      <c r="AL55" s="238">
        <v>2840</v>
      </c>
      <c r="AM55" s="238">
        <v>2840</v>
      </c>
      <c r="AN55" s="233">
        <v>35</v>
      </c>
      <c r="AO55" s="233">
        <v>312.5</v>
      </c>
      <c r="AP55" s="233">
        <v>0</v>
      </c>
      <c r="AQ55" s="153" t="s">
        <v>216</v>
      </c>
      <c r="AR55" s="233">
        <v>0</v>
      </c>
      <c r="AS55" s="233">
        <v>20</v>
      </c>
      <c r="AT55" s="239">
        <f>IF(OR(D85=2,D86=2),IF(D53=8,416,IF(D53="rgb888",662,440)),IF(AND(D91=1,D92=1),IF(D53=8,440,IF(D53="rgb888",1326,882)),IF(D53=8,238,440)))</f>
        <v>440</v>
      </c>
    </row>
    <row r="56" spans="1:46" s="21" customFormat="1" ht="84" hidden="1" customHeight="1" thickBot="1">
      <c r="A56" s="44" t="s">
        <v>844</v>
      </c>
      <c r="B56" s="45" t="s">
        <v>272</v>
      </c>
      <c r="C56" s="45" t="s">
        <v>845</v>
      </c>
      <c r="D56" s="77" t="s">
        <v>161</v>
      </c>
      <c r="E56" s="78"/>
      <c r="F56" s="24"/>
      <c r="G56" s="54" t="s">
        <v>128</v>
      </c>
      <c r="H56" s="55" t="s">
        <v>129</v>
      </c>
      <c r="I56" s="53" t="s">
        <v>846</v>
      </c>
      <c r="J56" s="83">
        <f>IF(D56="Ultrashort",J81,J83+IF(D75=0,0,ROUNDUP(P62*1000/J51,0)))</f>
        <v>3468</v>
      </c>
      <c r="K56" s="82" t="str">
        <f>IF(D56="Ultrashort","us","line")</f>
        <v>line</v>
      </c>
      <c r="M56" s="58" t="s">
        <v>847</v>
      </c>
      <c r="N56" s="69" t="s">
        <v>276</v>
      </c>
      <c r="O56" s="69" t="s">
        <v>256</v>
      </c>
      <c r="P56" s="70">
        <f>VLOOKUP($C$48,$S$50:$AT$58,28,FALSE)</f>
        <v>446</v>
      </c>
      <c r="Q56" s="76" t="s">
        <v>848</v>
      </c>
      <c r="S56" s="240" t="s">
        <v>816</v>
      </c>
      <c r="T56" s="240" t="s">
        <v>849</v>
      </c>
      <c r="U56" s="240">
        <v>37647</v>
      </c>
      <c r="V56" s="240">
        <v>75.293999999999997</v>
      </c>
      <c r="W56" s="240">
        <v>1</v>
      </c>
      <c r="X56" s="240">
        <v>8</v>
      </c>
      <c r="Y56" s="240">
        <v>0</v>
      </c>
      <c r="Z56" s="240">
        <v>0</v>
      </c>
      <c r="AA56" s="240">
        <f>IF(OR(D85=2,D86=2,D91=2,D92=2),1424,2856)</f>
        <v>2856</v>
      </c>
      <c r="AB56" s="240">
        <v>16</v>
      </c>
      <c r="AC56" s="240">
        <f>IF(OR(D85=2,D86=2,D91=2,D92=2),1424,2856)</f>
        <v>2856</v>
      </c>
      <c r="AD56" s="240">
        <f>IF(OR(D85=2,D86=2,D91=2,D92=2),1424,2848)</f>
        <v>2848</v>
      </c>
      <c r="AE56" s="240">
        <f>IF(OR(D85=2,D86=2),IF(D53=8,120.4707,222.1173),IF(AND(D91=1,D92=1),IF(D53=8,222.87024,444.98754),IF(D53=8,120.4704,222.87024)))</f>
        <v>222.87024</v>
      </c>
      <c r="AF56" s="240">
        <v>184</v>
      </c>
      <c r="AG56" s="240">
        <v>90</v>
      </c>
      <c r="AH56" s="240">
        <v>2470</v>
      </c>
      <c r="AI56" s="240"/>
      <c r="AJ56" s="240" t="s">
        <v>242</v>
      </c>
      <c r="AK56" s="240">
        <v>20000</v>
      </c>
      <c r="AL56" s="240">
        <f>IF(OR(D85=2,D91=2),1424,2856)</f>
        <v>2856</v>
      </c>
      <c r="AM56" s="240">
        <f>IF(OR(D86=2,D92=2),1424,2848)</f>
        <v>2848</v>
      </c>
      <c r="AN56" s="240">
        <v>35</v>
      </c>
      <c r="AO56" s="240">
        <v>312.5</v>
      </c>
      <c r="AP56" s="240">
        <v>0</v>
      </c>
      <c r="AQ56" s="240" t="s">
        <v>243</v>
      </c>
      <c r="AR56" s="240">
        <v>0</v>
      </c>
      <c r="AS56" s="240">
        <v>20</v>
      </c>
      <c r="AT56" s="240">
        <f>IF(OR(D85=2,D86=2),IF(D53=8,242,446),IF(AND(D91=1,D92=1),IF(D53=8,446,890),IF(D53=8,242,446)))</f>
        <v>446</v>
      </c>
    </row>
    <row r="57" spans="1:46" s="21" customFormat="1" ht="112.5" hidden="1" customHeight="1">
      <c r="A57" s="44" t="s">
        <v>277</v>
      </c>
      <c r="B57" s="45" t="s">
        <v>850</v>
      </c>
      <c r="C57" s="45">
        <f>VLOOKUP($C$48,$S$50:$AQ$58,19,FALSE)</f>
        <v>20000</v>
      </c>
      <c r="D57" s="85">
        <f>C10</f>
        <v>20000</v>
      </c>
      <c r="E57" s="78" t="s">
        <v>110</v>
      </c>
      <c r="F57" s="24"/>
      <c r="G57" s="58" t="s">
        <v>132</v>
      </c>
      <c r="H57" s="69" t="s">
        <v>133</v>
      </c>
      <c r="I57" s="49" t="s">
        <v>279</v>
      </c>
      <c r="J57" s="83">
        <f>IF(D56="Ultrashort",ROUNDUP(((1000000/D83))*D82,0),ROUNDUP(((1000000000/D83)/J51)*D82,0))</f>
        <v>0</v>
      </c>
      <c r="K57" s="82" t="str">
        <f>IF(D56="Ultrashort","us","line")</f>
        <v>line</v>
      </c>
      <c r="M57" s="58" t="s">
        <v>280</v>
      </c>
      <c r="N57" s="69" t="s">
        <v>281</v>
      </c>
      <c r="O57" s="69" t="s">
        <v>256</v>
      </c>
      <c r="P57" s="70">
        <f>VLOOKUP($C$48,$S$50:$AS$58,14,FALSE)</f>
        <v>184</v>
      </c>
      <c r="Q57" s="71" t="s">
        <v>107</v>
      </c>
      <c r="S57" s="84"/>
      <c r="T57" s="84"/>
      <c r="U57" s="84"/>
      <c r="V57" s="84"/>
      <c r="W57" s="84"/>
      <c r="X57" s="84"/>
      <c r="Y57" s="86"/>
      <c r="Z57" s="84"/>
    </row>
    <row r="58" spans="1:46" s="21" customFormat="1" ht="60" hidden="1" customHeight="1" thickBot="1">
      <c r="A58" s="87" t="s">
        <v>178</v>
      </c>
      <c r="B58" s="59" t="s">
        <v>21</v>
      </c>
      <c r="C58" s="45">
        <v>0</v>
      </c>
      <c r="D58" s="88">
        <f>C11</f>
        <v>0</v>
      </c>
      <c r="E58" s="89" t="s">
        <v>110</v>
      </c>
      <c r="F58" s="24"/>
      <c r="G58" s="87" t="s">
        <v>134</v>
      </c>
      <c r="H58" s="90" t="s">
        <v>90</v>
      </c>
      <c r="I58" s="1" t="s">
        <v>282</v>
      </c>
      <c r="J58" s="91">
        <f>IF(D56="Ultrashort",IF(D62=0,P94,IF(D64="Standard",P96,0)),IF(D62=0,ROUNDUP(P94*1000/J51,0),IF(D64="Standard",ROUNDUP(P96,0),0)))</f>
        <v>4889</v>
      </c>
      <c r="K58" s="82" t="str">
        <f>IF(D56="Ultrashort","us","line")</f>
        <v>line</v>
      </c>
      <c r="M58" s="58" t="s">
        <v>283</v>
      </c>
      <c r="N58" s="69" t="s">
        <v>284</v>
      </c>
      <c r="O58" s="69" t="s">
        <v>835</v>
      </c>
      <c r="P58" s="70">
        <f>VLOOKUP($C$48,$S$50:$AS$58,15,FALSE)</f>
        <v>90</v>
      </c>
      <c r="Q58" s="71" t="s">
        <v>107</v>
      </c>
      <c r="S58" s="84"/>
      <c r="T58" s="84"/>
      <c r="U58" s="84"/>
      <c r="V58" s="84"/>
      <c r="W58" s="84"/>
      <c r="X58" s="84"/>
      <c r="Y58" s="86"/>
      <c r="Z58" s="84"/>
    </row>
    <row r="59" spans="1:46" s="21" customFormat="1" ht="87.75" hidden="1" customHeight="1" thickBot="1">
      <c r="A59" s="92" t="s">
        <v>285</v>
      </c>
      <c r="B59" s="93" t="str">
        <f>"交叠曝光时间 
范围:0"&amp;"-"&amp;ROUNDUP(((J55-P58)*J51/1000),0)</f>
        <v>交叠曝光时间 
范围:0-17417</v>
      </c>
      <c r="C59" s="79">
        <f>ROUNDUP((J55-P58)*J51/1000,0)</f>
        <v>17417</v>
      </c>
      <c r="D59" s="94">
        <v>26000</v>
      </c>
      <c r="E59" s="89" t="s">
        <v>286</v>
      </c>
      <c r="F59" s="24"/>
      <c r="G59" s="259" t="s">
        <v>162</v>
      </c>
      <c r="H59" s="260"/>
      <c r="I59" s="260"/>
      <c r="J59" s="260"/>
      <c r="K59" s="261"/>
      <c r="M59" s="58" t="s">
        <v>287</v>
      </c>
      <c r="N59" s="69" t="s">
        <v>288</v>
      </c>
      <c r="O59" s="69" t="s">
        <v>205</v>
      </c>
      <c r="P59" s="70">
        <f>VLOOKUP($C$48,$S$50:$AS$58,16,FALSE)</f>
        <v>2470</v>
      </c>
      <c r="Q59" s="95" t="s">
        <v>289</v>
      </c>
      <c r="S59" s="84"/>
      <c r="T59" s="96"/>
      <c r="U59" s="84"/>
      <c r="V59" s="84"/>
      <c r="W59" s="84"/>
      <c r="X59" s="84"/>
      <c r="Y59" s="86"/>
      <c r="Z59" s="84"/>
    </row>
    <row r="60" spans="1:46" s="21" customFormat="1" ht="87.75" hidden="1" customHeight="1" thickBot="1">
      <c r="A60" s="97" t="s">
        <v>290</v>
      </c>
      <c r="B60" s="98" t="s">
        <v>291</v>
      </c>
      <c r="C60" s="90" t="s">
        <v>292</v>
      </c>
      <c r="D60" s="99">
        <v>0</v>
      </c>
      <c r="E60" s="89" t="s">
        <v>286</v>
      </c>
      <c r="F60" s="24"/>
      <c r="G60" s="100" t="s">
        <v>293</v>
      </c>
      <c r="H60" s="101" t="s">
        <v>294</v>
      </c>
      <c r="I60" s="101" t="s">
        <v>295</v>
      </c>
      <c r="J60" s="81">
        <f>IF(D56="Ultrashort",IF(D57&gt;P59/1000,ROUNDUP((D57*1000-P59)/1000,0),1),MAX(ROUNDUP((D57*1000-P59)/J51,0),1))</f>
        <v>3378</v>
      </c>
      <c r="K60" s="82" t="str">
        <f>IF(D56="Ultrashort","us","line")</f>
        <v>line</v>
      </c>
      <c r="M60" s="58" t="s">
        <v>296</v>
      </c>
      <c r="N60" s="69" t="s">
        <v>851</v>
      </c>
      <c r="O60" s="69" t="s">
        <v>205</v>
      </c>
      <c r="P60" s="70">
        <f>VLOOKUP($C$48,$S$50:$AS$58,27,FALSE)</f>
        <v>20</v>
      </c>
      <c r="Q60" s="71" t="s">
        <v>286</v>
      </c>
      <c r="S60" s="84"/>
      <c r="T60" s="84"/>
      <c r="U60" s="84"/>
      <c r="V60" s="84"/>
      <c r="W60" s="84"/>
      <c r="X60" s="84"/>
      <c r="Y60" s="86"/>
      <c r="Z60" s="84"/>
    </row>
    <row r="61" spans="1:46" s="21" customFormat="1" ht="87.75" hidden="1" customHeight="1">
      <c r="A61" s="265" t="s">
        <v>298</v>
      </c>
      <c r="B61" s="266"/>
      <c r="C61" s="266"/>
      <c r="D61" s="266"/>
      <c r="E61" s="267"/>
      <c r="F61" s="24"/>
      <c r="G61" s="100" t="s">
        <v>299</v>
      </c>
      <c r="H61" s="101" t="s">
        <v>300</v>
      </c>
      <c r="I61" s="101" t="s">
        <v>301</v>
      </c>
      <c r="J61" s="203">
        <f>IF(AND(D57&gt;P59/1000,D57&lt;=P60,AND(D85=1,D86=1),AND(D91=1,D92=1)),ROUNDUP((1000*D57-P59)/1000,0),0)</f>
        <v>0</v>
      </c>
      <c r="K61" s="102" t="s">
        <v>286</v>
      </c>
      <c r="M61" s="58" t="s">
        <v>302</v>
      </c>
      <c r="N61" s="69"/>
      <c r="O61" s="69" t="s">
        <v>205</v>
      </c>
      <c r="P61" s="70">
        <f>VLOOKUP($C$48,$S$50:$AS$58,17,FALSE)</f>
        <v>0</v>
      </c>
      <c r="Q61" s="71"/>
      <c r="S61" s="84"/>
      <c r="T61" s="84"/>
      <c r="U61" s="84"/>
      <c r="V61" s="84"/>
      <c r="W61" s="84"/>
      <c r="X61" s="84"/>
      <c r="Y61" s="86"/>
      <c r="Z61" s="84"/>
    </row>
    <row r="62" spans="1:46" s="21" customFormat="1" ht="109.5" hidden="1" customHeight="1">
      <c r="A62" s="69" t="s">
        <v>852</v>
      </c>
      <c r="B62" s="69" t="s">
        <v>298</v>
      </c>
      <c r="C62" s="69">
        <v>0</v>
      </c>
      <c r="D62" s="103">
        <f>C21</f>
        <v>0</v>
      </c>
      <c r="E62" s="104"/>
      <c r="F62" s="24"/>
      <c r="G62" s="105" t="s">
        <v>304</v>
      </c>
      <c r="H62" s="106" t="s">
        <v>853</v>
      </c>
      <c r="I62" s="106" t="s">
        <v>306</v>
      </c>
      <c r="J62" s="57">
        <f>IF(D56="Ultrashort",D58,ROUNDUP((D58*1000)/J51,0))</f>
        <v>0</v>
      </c>
      <c r="K62" s="82" t="str">
        <f>IF(D56="Ultrashort","us","line")</f>
        <v>line</v>
      </c>
      <c r="M62" s="58" t="s">
        <v>307</v>
      </c>
      <c r="N62" s="69" t="s">
        <v>308</v>
      </c>
      <c r="O62" s="69" t="s">
        <v>205</v>
      </c>
      <c r="P62" s="70">
        <f>VLOOKUP($C$48,$S$50:$AS$58,26,FALSE)</f>
        <v>0</v>
      </c>
      <c r="Q62" s="71" t="s">
        <v>110</v>
      </c>
      <c r="S62" s="84"/>
      <c r="T62" s="84"/>
      <c r="U62" s="84"/>
      <c r="V62" s="84"/>
      <c r="W62" s="84"/>
      <c r="X62" s="84"/>
      <c r="Y62" s="86"/>
      <c r="Z62" s="84"/>
    </row>
    <row r="63" spans="1:46" s="21" customFormat="1" ht="111" hidden="1" customHeight="1" thickBot="1">
      <c r="A63" s="61" t="s">
        <v>854</v>
      </c>
      <c r="B63" s="62" t="s">
        <v>855</v>
      </c>
      <c r="C63" s="62">
        <v>0</v>
      </c>
      <c r="D63" s="107">
        <v>0</v>
      </c>
      <c r="E63" s="64"/>
      <c r="F63" s="24"/>
      <c r="G63" s="105" t="s">
        <v>856</v>
      </c>
      <c r="H63" s="106" t="s">
        <v>857</v>
      </c>
      <c r="I63" s="101" t="s">
        <v>488</v>
      </c>
      <c r="J63" s="108">
        <f>IF(D56="Ultrashort",200,IF((D57+4*J51/1000)&gt;100,(D57+4*J51/1000),100))</f>
        <v>20023.68</v>
      </c>
      <c r="K63" s="4" t="s">
        <v>286</v>
      </c>
      <c r="M63" s="109" t="s">
        <v>858</v>
      </c>
      <c r="N63" s="110" t="s">
        <v>313</v>
      </c>
      <c r="O63" s="110" t="s">
        <v>205</v>
      </c>
      <c r="P63" s="111">
        <f>VLOOKUP($C$48,$S$50:$AS$58,24,FALSE)</f>
        <v>0</v>
      </c>
      <c r="Q63" s="47" t="s">
        <v>107</v>
      </c>
      <c r="S63" s="84"/>
      <c r="T63" s="84"/>
      <c r="U63" s="84"/>
      <c r="V63" s="84"/>
      <c r="W63" s="84"/>
      <c r="X63" s="84"/>
      <c r="Y63" s="86"/>
      <c r="Z63" s="84"/>
    </row>
    <row r="64" spans="1:46" s="21" customFormat="1" ht="111" hidden="1" customHeight="1" thickBot="1">
      <c r="A64" s="69" t="s">
        <v>314</v>
      </c>
      <c r="B64" s="69" t="s">
        <v>163</v>
      </c>
      <c r="C64" s="112" t="s">
        <v>273</v>
      </c>
      <c r="D64" s="103" t="s">
        <v>161</v>
      </c>
      <c r="E64" s="113"/>
      <c r="F64" s="24"/>
      <c r="G64" s="114" t="s">
        <v>315</v>
      </c>
      <c r="H64" s="106" t="s">
        <v>316</v>
      </c>
      <c r="I64" s="106" t="s">
        <v>859</v>
      </c>
      <c r="J64" s="241">
        <f>IF(D56="Ultrashort",ROUNDUP((D71+11+P61)*J51/1000,0),D71+11+P61)</f>
        <v>2859</v>
      </c>
      <c r="K64" s="82" t="str">
        <f>IF(D56="Ultrashort","us","line")</f>
        <v>line</v>
      </c>
      <c r="M64" s="262" t="s">
        <v>177</v>
      </c>
      <c r="N64" s="263"/>
      <c r="O64" s="263"/>
      <c r="P64" s="263"/>
      <c r="Q64" s="268"/>
      <c r="S64" s="84"/>
      <c r="T64" s="84"/>
      <c r="U64" s="84"/>
      <c r="V64" s="84"/>
      <c r="W64" s="84"/>
      <c r="X64" s="84"/>
      <c r="Y64" s="115"/>
      <c r="Z64" s="115"/>
    </row>
    <row r="65" spans="1:26" s="21" customFormat="1" ht="60.75" hidden="1" customHeight="1" thickBot="1">
      <c r="A65" s="248" t="s">
        <v>164</v>
      </c>
      <c r="B65" s="249"/>
      <c r="C65" s="249"/>
      <c r="D65" s="249"/>
      <c r="E65" s="268"/>
      <c r="F65" s="24"/>
      <c r="G65" s="262" t="s">
        <v>73</v>
      </c>
      <c r="H65" s="263"/>
      <c r="I65" s="263"/>
      <c r="J65" s="263"/>
      <c r="K65" s="268"/>
      <c r="M65" s="32" t="s">
        <v>96</v>
      </c>
      <c r="N65" s="33" t="s">
        <v>94</v>
      </c>
      <c r="O65" s="33" t="s">
        <v>98</v>
      </c>
      <c r="P65" s="33" t="s">
        <v>157</v>
      </c>
      <c r="Q65" s="34" t="s">
        <v>100</v>
      </c>
      <c r="S65" s="84"/>
      <c r="T65" s="116"/>
      <c r="U65" s="116"/>
      <c r="V65" s="116"/>
      <c r="W65" s="116"/>
      <c r="X65" s="116"/>
      <c r="Y65" s="117"/>
      <c r="Z65" s="117"/>
    </row>
    <row r="66" spans="1:26" s="21" customFormat="1" ht="30" hidden="1" customHeight="1" thickBot="1">
      <c r="A66" s="61" t="s">
        <v>210</v>
      </c>
      <c r="B66" s="62" t="s">
        <v>119</v>
      </c>
      <c r="C66" s="62">
        <v>0</v>
      </c>
      <c r="D66" s="63">
        <v>0</v>
      </c>
      <c r="E66" s="64" t="s">
        <v>110</v>
      </c>
      <c r="F66" s="24"/>
      <c r="G66" s="118" t="s">
        <v>84</v>
      </c>
      <c r="H66" s="119" t="s">
        <v>166</v>
      </c>
      <c r="I66" s="119" t="s">
        <v>167</v>
      </c>
      <c r="J66" s="120">
        <f>J53*P83</f>
        <v>281031268.35504264</v>
      </c>
      <c r="K66" s="121" t="s">
        <v>168</v>
      </c>
      <c r="M66" s="44" t="s">
        <v>74</v>
      </c>
      <c r="N66" s="45" t="s">
        <v>101</v>
      </c>
      <c r="O66" s="45" t="s">
        <v>102</v>
      </c>
      <c r="P66" s="46">
        <v>7</v>
      </c>
      <c r="Q66" s="47" t="s">
        <v>103</v>
      </c>
      <c r="S66" s="84"/>
      <c r="T66" s="116"/>
      <c r="U66" s="116"/>
      <c r="V66" s="116"/>
      <c r="W66" s="116"/>
      <c r="X66" s="116"/>
      <c r="Y66" s="117"/>
      <c r="Z66" s="117"/>
    </row>
    <row r="67" spans="1:26" s="21" customFormat="1" ht="30" hidden="1" customHeight="1" thickBot="1">
      <c r="A67" s="262" t="s">
        <v>165</v>
      </c>
      <c r="B67" s="263"/>
      <c r="C67" s="263"/>
      <c r="D67" s="263"/>
      <c r="E67" s="224"/>
      <c r="F67" s="24"/>
      <c r="G67" s="122" t="s">
        <v>85</v>
      </c>
      <c r="H67" s="123" t="s">
        <v>169</v>
      </c>
      <c r="I67" s="92" t="s">
        <v>170</v>
      </c>
      <c r="J67" s="57">
        <f>J53*P90</f>
        <v>292933006.25367099</v>
      </c>
      <c r="K67" s="124" t="s">
        <v>168</v>
      </c>
      <c r="M67" s="58" t="s">
        <v>75</v>
      </c>
      <c r="N67" s="69" t="s">
        <v>105</v>
      </c>
      <c r="O67" s="69" t="s">
        <v>106</v>
      </c>
      <c r="P67" s="70">
        <v>1</v>
      </c>
      <c r="Q67" s="71" t="s">
        <v>103</v>
      </c>
    </row>
    <row r="68" spans="1:26" s="21" customFormat="1" ht="30" hidden="1" customHeight="1" thickBot="1">
      <c r="A68" s="44" t="s">
        <v>318</v>
      </c>
      <c r="B68" s="45" t="s">
        <v>319</v>
      </c>
      <c r="C68" s="45">
        <v>0</v>
      </c>
      <c r="D68" s="85">
        <v>0</v>
      </c>
      <c r="E68" s="125" t="s">
        <v>159</v>
      </c>
      <c r="F68" s="24"/>
      <c r="G68" s="126" t="s">
        <v>86</v>
      </c>
      <c r="H68" s="127" t="s">
        <v>171</v>
      </c>
      <c r="I68" s="67" t="s">
        <v>172</v>
      </c>
      <c r="J68" s="108">
        <f>1250*D77*(100-D80)</f>
        <v>296875000</v>
      </c>
      <c r="K68" s="128" t="s">
        <v>168</v>
      </c>
      <c r="M68" s="58" t="s">
        <v>76</v>
      </c>
      <c r="N68" s="69" t="s">
        <v>108</v>
      </c>
      <c r="O68" s="69" t="s">
        <v>109</v>
      </c>
      <c r="P68" s="70">
        <v>14</v>
      </c>
      <c r="Q68" s="71" t="s">
        <v>103</v>
      </c>
      <c r="R68" s="25"/>
    </row>
    <row r="69" spans="1:26" s="21" customFormat="1" ht="70.5" hidden="1" customHeight="1" thickBot="1">
      <c r="A69" s="129" t="s">
        <v>320</v>
      </c>
      <c r="B69" s="92" t="s">
        <v>321</v>
      </c>
      <c r="C69" s="92">
        <v>0</v>
      </c>
      <c r="D69" s="130">
        <v>0</v>
      </c>
      <c r="E69" s="131" t="s">
        <v>159</v>
      </c>
      <c r="F69" s="24"/>
      <c r="G69" s="222" t="s">
        <v>322</v>
      </c>
      <c r="H69" s="223"/>
      <c r="I69" s="223"/>
      <c r="J69" s="223"/>
      <c r="K69" s="224"/>
      <c r="M69" s="58" t="s">
        <v>77</v>
      </c>
      <c r="N69" s="69" t="s">
        <v>111</v>
      </c>
      <c r="O69" s="69" t="s">
        <v>112</v>
      </c>
      <c r="P69" s="70">
        <v>20</v>
      </c>
      <c r="Q69" s="71" t="s">
        <v>103</v>
      </c>
      <c r="R69" s="25"/>
    </row>
    <row r="70" spans="1:26" s="21" customFormat="1" ht="148.5" hidden="1" customHeight="1">
      <c r="A70" s="129" t="s">
        <v>860</v>
      </c>
      <c r="B70" s="92" t="s">
        <v>324</v>
      </c>
      <c r="C70" s="92">
        <f>VLOOKUP($C$48,$S$50:$AQ$58,20,FALSE)</f>
        <v>2856</v>
      </c>
      <c r="D70" s="130">
        <f>C4</f>
        <v>2856</v>
      </c>
      <c r="E70" s="131" t="s">
        <v>159</v>
      </c>
      <c r="F70" s="24"/>
      <c r="G70" s="132" t="s">
        <v>325</v>
      </c>
      <c r="H70" s="133" t="s">
        <v>326</v>
      </c>
      <c r="I70" s="119" t="s">
        <v>327</v>
      </c>
      <c r="J70" s="81">
        <f>IF(D77=10000,0,IF(D77=5000,1,IF(D77=2500,2,IF(D77=1000,3,3))))</f>
        <v>2</v>
      </c>
      <c r="K70" s="121" t="s">
        <v>328</v>
      </c>
      <c r="M70" s="58" t="s">
        <v>78</v>
      </c>
      <c r="N70" s="69" t="s">
        <v>114</v>
      </c>
      <c r="O70" s="69" t="s">
        <v>115</v>
      </c>
      <c r="P70" s="70">
        <v>8</v>
      </c>
      <c r="Q70" s="71" t="s">
        <v>103</v>
      </c>
      <c r="R70" s="25"/>
    </row>
    <row r="71" spans="1:26" s="21" customFormat="1" ht="45.75" hidden="1" customHeight="1" thickBot="1">
      <c r="A71" s="134" t="s">
        <v>329</v>
      </c>
      <c r="B71" s="90" t="s">
        <v>861</v>
      </c>
      <c r="C71" s="90">
        <f>VLOOKUP($C$48,$S$50:$AQ$58,21,FALSE)</f>
        <v>2848</v>
      </c>
      <c r="D71" s="135">
        <f>C5</f>
        <v>2848</v>
      </c>
      <c r="E71" s="89" t="s">
        <v>159</v>
      </c>
      <c r="F71" s="24"/>
      <c r="G71" s="136" t="s">
        <v>331</v>
      </c>
      <c r="H71" s="137" t="s">
        <v>332</v>
      </c>
      <c r="I71" s="138" t="s">
        <v>493</v>
      </c>
      <c r="J71" s="139">
        <f>ROUNDUP(D79*VLOOKUP($C$48,$S$50:$AQ$58,23,FALSE)/4000,0)</f>
        <v>0</v>
      </c>
      <c r="K71" s="140" t="s">
        <v>211</v>
      </c>
      <c r="M71" s="58" t="s">
        <v>79</v>
      </c>
      <c r="N71" s="69" t="s">
        <v>116</v>
      </c>
      <c r="O71" s="69" t="s">
        <v>115</v>
      </c>
      <c r="P71" s="70">
        <v>8</v>
      </c>
      <c r="Q71" s="71" t="s">
        <v>103</v>
      </c>
    </row>
    <row r="72" spans="1:26" s="21" customFormat="1" ht="48" hidden="1" customHeight="1" thickBot="1">
      <c r="A72" s="262" t="s">
        <v>138</v>
      </c>
      <c r="B72" s="263"/>
      <c r="C72" s="263"/>
      <c r="D72" s="263"/>
      <c r="E72" s="268"/>
      <c r="F72" s="24"/>
      <c r="G72" s="222" t="s">
        <v>143</v>
      </c>
      <c r="H72" s="223"/>
      <c r="I72" s="223"/>
      <c r="J72" s="223"/>
      <c r="K72" s="224"/>
      <c r="M72" s="58" t="s">
        <v>80</v>
      </c>
      <c r="N72" s="69" t="s">
        <v>117</v>
      </c>
      <c r="O72" s="69" t="s">
        <v>118</v>
      </c>
      <c r="P72" s="70">
        <v>4</v>
      </c>
      <c r="Q72" s="71" t="s">
        <v>103</v>
      </c>
    </row>
    <row r="73" spans="1:26" s="21" customFormat="1" ht="69.75" hidden="1" customHeight="1" thickBot="1">
      <c r="A73" s="141" t="s">
        <v>862</v>
      </c>
      <c r="B73" s="142" t="s">
        <v>334</v>
      </c>
      <c r="C73" s="143">
        <v>0</v>
      </c>
      <c r="D73" s="144">
        <v>0</v>
      </c>
      <c r="E73" s="145" t="s">
        <v>142</v>
      </c>
      <c r="G73" s="146" t="s">
        <v>87</v>
      </c>
      <c r="H73" s="147" t="s">
        <v>335</v>
      </c>
      <c r="I73" s="148" t="s">
        <v>336</v>
      </c>
      <c r="J73" s="149">
        <f>IF(ROUNDUP(P99*1000*8/D77,0)&gt;200000000,200000000,ROUNDUP(P99*1000*8/D77,0))</f>
        <v>1704365</v>
      </c>
      <c r="K73" s="150" t="s">
        <v>104</v>
      </c>
      <c r="M73" s="58" t="s">
        <v>52</v>
      </c>
      <c r="N73" s="69" t="s">
        <v>51</v>
      </c>
      <c r="O73" s="69" t="s">
        <v>120</v>
      </c>
      <c r="P73" s="70">
        <v>12</v>
      </c>
      <c r="Q73" s="71" t="s">
        <v>103</v>
      </c>
      <c r="S73" s="262" t="s">
        <v>131</v>
      </c>
      <c r="T73" s="263"/>
      <c r="U73" s="263"/>
      <c r="V73" s="263"/>
      <c r="W73" s="263"/>
      <c r="X73" s="264"/>
    </row>
    <row r="74" spans="1:26" s="21" customFormat="1" ht="62.25" hidden="1" customHeight="1" thickBot="1">
      <c r="A74" s="262" t="s">
        <v>337</v>
      </c>
      <c r="B74" s="263"/>
      <c r="C74" s="263"/>
      <c r="D74" s="263"/>
      <c r="E74" s="268"/>
      <c r="G74" s="222" t="s">
        <v>145</v>
      </c>
      <c r="H74" s="223"/>
      <c r="I74" s="223"/>
      <c r="J74" s="223"/>
      <c r="K74" s="224"/>
      <c r="M74" s="58" t="s">
        <v>55</v>
      </c>
      <c r="N74" s="92" t="s">
        <v>122</v>
      </c>
      <c r="O74" s="69" t="s">
        <v>123</v>
      </c>
      <c r="P74" s="70">
        <f>P69+P70+P71</f>
        <v>36</v>
      </c>
      <c r="Q74" s="71" t="s">
        <v>103</v>
      </c>
      <c r="S74" s="32" t="s">
        <v>212</v>
      </c>
      <c r="T74" s="33" t="s">
        <v>213</v>
      </c>
      <c r="U74" s="33" t="s">
        <v>94</v>
      </c>
      <c r="V74" s="33" t="s">
        <v>98</v>
      </c>
      <c r="W74" s="151" t="s">
        <v>173</v>
      </c>
      <c r="X74" s="41" t="s">
        <v>174</v>
      </c>
    </row>
    <row r="75" spans="1:26" s="21" customFormat="1" ht="50.25" hidden="1" customHeight="1" thickBot="1">
      <c r="A75" s="152" t="s">
        <v>863</v>
      </c>
      <c r="B75" s="153" t="s">
        <v>864</v>
      </c>
      <c r="C75" s="154">
        <v>0</v>
      </c>
      <c r="D75" s="155">
        <v>0</v>
      </c>
      <c r="E75" s="156" t="s">
        <v>142</v>
      </c>
      <c r="G75" s="146" t="s">
        <v>88</v>
      </c>
      <c r="H75" s="147" t="s">
        <v>145</v>
      </c>
      <c r="I75" s="148" t="s">
        <v>340</v>
      </c>
      <c r="J75" s="149">
        <f>IF((100-ROUNDDOWN(10*P92/(125000*D77),0)-1)&lt;0,0,(100-ROUNDDOWN(10*P92/(125000*D77),0)-1))</f>
        <v>99</v>
      </c>
      <c r="K75" s="150" t="s">
        <v>146</v>
      </c>
      <c r="M75" s="58" t="s">
        <v>56</v>
      </c>
      <c r="N75" s="92" t="s">
        <v>126</v>
      </c>
      <c r="O75" s="69" t="s">
        <v>127</v>
      </c>
      <c r="P75" s="70">
        <f>P66+P67+P68+P72</f>
        <v>26</v>
      </c>
      <c r="Q75" s="71" t="s">
        <v>103</v>
      </c>
      <c r="S75" s="157" t="s">
        <v>865</v>
      </c>
      <c r="T75" s="119" t="s">
        <v>866</v>
      </c>
      <c r="U75" s="158" t="s">
        <v>867</v>
      </c>
      <c r="V75" s="45" t="s">
        <v>344</v>
      </c>
      <c r="W75" s="159" t="str">
        <f>"0x"&amp;DEC2HEX(J55)</f>
        <v>0xBD8</v>
      </c>
      <c r="X75" s="160"/>
    </row>
    <row r="76" spans="1:26" s="21" customFormat="1" ht="156" hidden="1" customHeight="1" thickBot="1">
      <c r="A76" s="262" t="s">
        <v>175</v>
      </c>
      <c r="B76" s="263"/>
      <c r="C76" s="263"/>
      <c r="D76" s="263"/>
      <c r="E76" s="268"/>
      <c r="G76" s="222" t="s">
        <v>345</v>
      </c>
      <c r="H76" s="223"/>
      <c r="I76" s="223"/>
      <c r="J76" s="223"/>
      <c r="K76" s="224"/>
      <c r="M76" s="87" t="s">
        <v>58</v>
      </c>
      <c r="N76" s="59" t="s">
        <v>57</v>
      </c>
      <c r="O76" s="59" t="s">
        <v>130</v>
      </c>
      <c r="P76" s="91">
        <f>64-P68-P72-P74</f>
        <v>10</v>
      </c>
      <c r="Q76" s="161" t="s">
        <v>103</v>
      </c>
      <c r="S76" s="162" t="s">
        <v>868</v>
      </c>
      <c r="T76" s="119" t="s">
        <v>347</v>
      </c>
      <c r="U76" s="163" t="s">
        <v>869</v>
      </c>
      <c r="V76" s="69" t="s">
        <v>870</v>
      </c>
      <c r="W76" s="242" t="str">
        <f>"0x"&amp;DEC2HEX(IF(D56="Ultrashort",50,ROUNDUP(P55/37.647*50,0)))</f>
        <v>0x128</v>
      </c>
      <c r="X76" s="165" t="s">
        <v>349</v>
      </c>
    </row>
    <row r="77" spans="1:26" s="21" customFormat="1" ht="84.75" hidden="1" customHeight="1" thickBot="1">
      <c r="A77" s="166" t="s">
        <v>350</v>
      </c>
      <c r="B77" s="80" t="s">
        <v>871</v>
      </c>
      <c r="C77" s="167" t="s">
        <v>142</v>
      </c>
      <c r="D77" s="168">
        <f>C18</f>
        <v>2500</v>
      </c>
      <c r="E77" s="78" t="s">
        <v>176</v>
      </c>
      <c r="G77" s="132" t="s">
        <v>351</v>
      </c>
      <c r="H77" s="133" t="s">
        <v>872</v>
      </c>
      <c r="I77" s="119" t="s">
        <v>353</v>
      </c>
      <c r="J77" s="169" t="str">
        <f>IF((D62=1)*(D55="TriggerWidth"),J55+IF(ROUNDUP((1000*D60/J51),0)&gt;J79,ROUNDUP((1000*D60/J51),0)-J79,0),"null")</f>
        <v>null</v>
      </c>
      <c r="K77" s="2" t="s">
        <v>838</v>
      </c>
      <c r="M77" s="262" t="s">
        <v>181</v>
      </c>
      <c r="N77" s="263"/>
      <c r="O77" s="263"/>
      <c r="P77" s="263"/>
      <c r="Q77" s="268"/>
      <c r="S77" s="162" t="s">
        <v>873</v>
      </c>
      <c r="T77" s="119" t="s">
        <v>355</v>
      </c>
      <c r="U77" s="163" t="s">
        <v>356</v>
      </c>
      <c r="V77" s="55" t="s">
        <v>357</v>
      </c>
      <c r="W77" s="164" t="str">
        <f>"0X"&amp;DEC2HEX(J62)</f>
        <v>0X0</v>
      </c>
      <c r="X77" s="165"/>
    </row>
    <row r="78" spans="1:26" s="21" customFormat="1" ht="57" hidden="1" customHeight="1" thickBot="1">
      <c r="A78" s="129" t="s">
        <v>874</v>
      </c>
      <c r="B78" s="92" t="s">
        <v>875</v>
      </c>
      <c r="C78" s="170">
        <v>1500</v>
      </c>
      <c r="D78" s="130">
        <f>C13</f>
        <v>1500</v>
      </c>
      <c r="E78" s="131" t="s">
        <v>103</v>
      </c>
      <c r="G78" s="136" t="s">
        <v>360</v>
      </c>
      <c r="H78" s="137" t="s">
        <v>876</v>
      </c>
      <c r="I78" s="138" t="s">
        <v>362</v>
      </c>
      <c r="J78" s="171" t="str">
        <f>IF((D62=1)*(D55="TriggerWidth"),IF(D60&gt;D59,(ROUNDUP((1000*D60/J51),0)*J51+P59)/1000,(ROUNDUP((1000*D59/J51),0)*J51+P59)/1000),"null")</f>
        <v>null</v>
      </c>
      <c r="K78" s="140" t="s">
        <v>877</v>
      </c>
      <c r="M78" s="32" t="s">
        <v>96</v>
      </c>
      <c r="N78" s="33" t="s">
        <v>94</v>
      </c>
      <c r="O78" s="33" t="s">
        <v>98</v>
      </c>
      <c r="P78" s="33" t="s">
        <v>157</v>
      </c>
      <c r="Q78" s="34" t="s">
        <v>100</v>
      </c>
      <c r="S78" s="162" t="s">
        <v>363</v>
      </c>
      <c r="T78" s="119" t="s">
        <v>878</v>
      </c>
      <c r="U78" s="163" t="s">
        <v>365</v>
      </c>
      <c r="V78" s="55" t="s">
        <v>366</v>
      </c>
      <c r="W78" s="164" t="str">
        <f>"0x"&amp;DEC2HEX(J79)</f>
        <v>0x1127</v>
      </c>
      <c r="X78" s="165"/>
    </row>
    <row r="79" spans="1:26" s="174" customFormat="1" ht="75.75" hidden="1" customHeight="1" thickBot="1">
      <c r="A79" s="172" t="s">
        <v>367</v>
      </c>
      <c r="B79" s="56" t="str">
        <f>"流通道包间隔 
范围:0"&amp;"-"&amp;J73</f>
        <v>流通道包间隔 
范围:0-1704365</v>
      </c>
      <c r="C79" s="173">
        <v>0</v>
      </c>
      <c r="D79" s="130">
        <f>C14</f>
        <v>0</v>
      </c>
      <c r="E79" s="131" t="s">
        <v>104</v>
      </c>
      <c r="G79" s="136" t="s">
        <v>368</v>
      </c>
      <c r="H79" s="137" t="s">
        <v>369</v>
      </c>
      <c r="I79" s="138" t="s">
        <v>370</v>
      </c>
      <c r="J79" s="171">
        <f>MAX(INT(D59*1000/J51),1)</f>
        <v>4391</v>
      </c>
      <c r="K79" s="175" t="s">
        <v>260</v>
      </c>
      <c r="M79" s="44" t="s">
        <v>81</v>
      </c>
      <c r="N79" s="119" t="s">
        <v>203</v>
      </c>
      <c r="O79" s="45" t="s">
        <v>135</v>
      </c>
      <c r="P79" s="46">
        <f>36</f>
        <v>36</v>
      </c>
      <c r="Q79" s="47" t="s">
        <v>103</v>
      </c>
      <c r="S79" s="162" t="s">
        <v>371</v>
      </c>
      <c r="T79" s="119" t="s">
        <v>372</v>
      </c>
      <c r="U79" s="163" t="s">
        <v>373</v>
      </c>
      <c r="V79" s="56" t="s">
        <v>374</v>
      </c>
      <c r="W79" s="164" t="str">
        <f>"0x"&amp;DEC2HEX(IF(D57&lt;=P59/1000,1,J60))</f>
        <v>0xD32</v>
      </c>
      <c r="X79" s="165"/>
    </row>
    <row r="80" spans="1:26" s="174" customFormat="1" ht="50.1" hidden="1" customHeight="1" thickBot="1">
      <c r="A80" s="176" t="s">
        <v>879</v>
      </c>
      <c r="B80" s="97" t="str">
        <f>"预留带宽 
范围:0-"&amp;J75</f>
        <v>预留带宽 
范围:0-99</v>
      </c>
      <c r="C80" s="177">
        <v>10</v>
      </c>
      <c r="D80" s="135">
        <f>C19</f>
        <v>5</v>
      </c>
      <c r="E80" s="89" t="s">
        <v>146</v>
      </c>
      <c r="G80" s="178" t="s">
        <v>376</v>
      </c>
      <c r="H80" s="179"/>
      <c r="I80" s="225" t="s">
        <v>880</v>
      </c>
      <c r="J80" s="225"/>
      <c r="K80" s="180"/>
      <c r="M80" s="58" t="s">
        <v>82</v>
      </c>
      <c r="N80" s="92" t="s">
        <v>182</v>
      </c>
      <c r="O80" s="69" t="s">
        <v>136</v>
      </c>
      <c r="P80" s="70">
        <v>10</v>
      </c>
      <c r="Q80" s="71" t="s">
        <v>103</v>
      </c>
      <c r="S80" s="162" t="s">
        <v>377</v>
      </c>
      <c r="T80" s="119" t="s">
        <v>378</v>
      </c>
      <c r="U80" s="163" t="s">
        <v>379</v>
      </c>
      <c r="V80" s="69" t="s">
        <v>881</v>
      </c>
      <c r="W80" s="164" t="str">
        <f>IF(D57&gt;P60,"0x"&amp;DEC2HEX(MAX(J55,J56,J57,J58)),"0x"&amp;DEC2HEX(MAX(J55,J56+1,J57,J58)))</f>
        <v>0x1319</v>
      </c>
      <c r="X80" s="165"/>
    </row>
    <row r="81" spans="1:26" s="21" customFormat="1" ht="75" hidden="1" customHeight="1" thickBot="1">
      <c r="A81" s="262"/>
      <c r="B81" s="263"/>
      <c r="C81" s="263"/>
      <c r="D81" s="263"/>
      <c r="E81" s="268"/>
      <c r="G81" s="181" t="s">
        <v>381</v>
      </c>
      <c r="H81" s="106" t="s">
        <v>882</v>
      </c>
      <c r="I81" s="106" t="s">
        <v>383</v>
      </c>
      <c r="J81" s="106" t="str">
        <f>IF(D56="Standard","null",J55+J62+J60+ROUNDUP(P59/1000,0))</f>
        <v>null</v>
      </c>
      <c r="K81" s="106" t="s">
        <v>286</v>
      </c>
      <c r="M81" s="182" t="s">
        <v>83</v>
      </c>
      <c r="N81" s="183" t="s">
        <v>183</v>
      </c>
      <c r="O81" s="183" t="s">
        <v>384</v>
      </c>
      <c r="P81" s="203">
        <v>48</v>
      </c>
      <c r="Q81" s="124" t="s">
        <v>103</v>
      </c>
      <c r="S81" s="184" t="s">
        <v>883</v>
      </c>
      <c r="T81" s="36" t="s">
        <v>386</v>
      </c>
      <c r="U81" s="185" t="s">
        <v>884</v>
      </c>
      <c r="V81" s="49" t="s">
        <v>881</v>
      </c>
      <c r="W81" s="186" t="str">
        <f>"0x"&amp;DEC2HEX(MAX(J55,J56))</f>
        <v>0xD8C</v>
      </c>
      <c r="X81" s="165"/>
      <c r="Y81" s="174"/>
    </row>
    <row r="82" spans="1:26" s="21" customFormat="1" ht="43.5" hidden="1" customHeight="1">
      <c r="A82" s="44" t="s">
        <v>885</v>
      </c>
      <c r="B82" s="45" t="s">
        <v>389</v>
      </c>
      <c r="C82" s="45">
        <v>0</v>
      </c>
      <c r="D82" s="85">
        <f>C17</f>
        <v>0</v>
      </c>
      <c r="E82" s="125" t="s">
        <v>142</v>
      </c>
      <c r="G82" s="178" t="s">
        <v>886</v>
      </c>
      <c r="H82" s="179"/>
      <c r="I82" s="225" t="s">
        <v>390</v>
      </c>
      <c r="J82" s="225"/>
      <c r="K82" s="180"/>
      <c r="M82" s="129" t="s">
        <v>53</v>
      </c>
      <c r="N82" s="92" t="s">
        <v>184</v>
      </c>
      <c r="O82" s="92" t="s">
        <v>185</v>
      </c>
      <c r="P82" s="187">
        <f>D70*D71*IF(D53=8,1,IF(OR(D53="RGB8",D53="BGR8"),3,2))</f>
        <v>8133888</v>
      </c>
      <c r="Q82" s="71" t="s">
        <v>103</v>
      </c>
      <c r="S82" s="184" t="s">
        <v>887</v>
      </c>
      <c r="T82" s="36" t="s">
        <v>888</v>
      </c>
      <c r="U82" s="185" t="s">
        <v>889</v>
      </c>
      <c r="V82" s="49" t="s">
        <v>881</v>
      </c>
      <c r="W82" s="186" t="str">
        <f>"0x"&amp;IF(D64="HighSpeed",IF(D56="TriggerWidth",DEC2HEX(MAX(J55,J57)),DEC2HEX(MAX(J55,J56,J57))),IF(D55="TriggerWidth",DEC2HEX(MAX(J55,J57,P96)),DEC2HEX(MAX(J55,J56,J57,P96))))</f>
        <v>0x1224</v>
      </c>
      <c r="X82" s="165"/>
      <c r="Y82" s="174"/>
    </row>
    <row r="83" spans="1:26" s="21" customFormat="1" ht="60" hidden="1" customHeight="1" thickBot="1">
      <c r="A83" s="87" t="s">
        <v>890</v>
      </c>
      <c r="B83" s="66" t="s">
        <v>891</v>
      </c>
      <c r="C83" s="59">
        <f>VLOOKUP($C$48,$S$50:$AQ$58,22,FALSE)</f>
        <v>35</v>
      </c>
      <c r="D83" s="88">
        <f>C16</f>
        <v>35</v>
      </c>
      <c r="E83" s="188" t="s">
        <v>113</v>
      </c>
      <c r="G83" s="189" t="s">
        <v>892</v>
      </c>
      <c r="H83" s="101" t="s">
        <v>893</v>
      </c>
      <c r="I83" s="189" t="s">
        <v>894</v>
      </c>
      <c r="J83" s="243">
        <f>IF(OR(D57&gt;P60,D85=2,D86=2,D91=2,D92=2),J60+IF(D75=1,0,J62)+P58,J55+J60+IF(D75=1,0,J62)+2)</f>
        <v>3468</v>
      </c>
      <c r="K83" s="101" t="s">
        <v>260</v>
      </c>
      <c r="M83" s="58" t="s">
        <v>54</v>
      </c>
      <c r="N83" s="92" t="s">
        <v>186</v>
      </c>
      <c r="O83" s="92" t="s">
        <v>217</v>
      </c>
      <c r="P83" s="190">
        <f>P82+P81*D73</f>
        <v>8133888</v>
      </c>
      <c r="Q83" s="71" t="s">
        <v>103</v>
      </c>
      <c r="S83" s="191" t="s">
        <v>895</v>
      </c>
      <c r="T83" s="119" t="s">
        <v>896</v>
      </c>
      <c r="U83" s="163" t="s">
        <v>897</v>
      </c>
      <c r="V83" s="92" t="s">
        <v>881</v>
      </c>
      <c r="W83" s="164" t="str">
        <f>"0x"&amp;IF((D62=1)*(D55="TriggerWidth"),1,0)</f>
        <v>0x0</v>
      </c>
      <c r="X83" s="165"/>
      <c r="Y83" s="174"/>
    </row>
    <row r="84" spans="1:26" s="21" customFormat="1" ht="126.75" hidden="1" customHeight="1" thickBot="1">
      <c r="A84" s="262" t="s">
        <v>898</v>
      </c>
      <c r="B84" s="263"/>
      <c r="C84" s="263"/>
      <c r="D84" s="263"/>
      <c r="E84" s="268"/>
      <c r="G84" s="271" t="s">
        <v>899</v>
      </c>
      <c r="H84" s="271"/>
      <c r="I84" s="271"/>
      <c r="J84" s="271"/>
      <c r="K84" s="271"/>
      <c r="M84" s="58" t="s">
        <v>60</v>
      </c>
      <c r="N84" s="92" t="s">
        <v>59</v>
      </c>
      <c r="O84" s="69" t="s">
        <v>137</v>
      </c>
      <c r="P84" s="192">
        <f>INT(P83/(D78-P74))</f>
        <v>5555</v>
      </c>
      <c r="Q84" s="71" t="s">
        <v>404</v>
      </c>
      <c r="S84" s="191" t="s">
        <v>900</v>
      </c>
      <c r="T84" s="56" t="s">
        <v>633</v>
      </c>
      <c r="U84" s="56" t="s">
        <v>901</v>
      </c>
      <c r="V84" s="56" t="s">
        <v>408</v>
      </c>
      <c r="W84" s="244" t="e">
        <f>"0x"&amp;DEC2HEX(P55/37.647*VLOOKUP($C$2,$S$4:$AM$21,4,FALSE)-(VLOOKUP($C$2,$S$4:$AM$21,9,FALSE)/VLOOKUP($C$2,$S$4:$AM$21,5,FALSE)/VLOOKUP($C$2,$S$4:$AM$21,6,FALSE)))</f>
        <v>#N/A</v>
      </c>
      <c r="X84" s="193"/>
      <c r="Z84" s="174"/>
    </row>
    <row r="85" spans="1:26" s="21" customFormat="1" ht="30" hidden="1" customHeight="1">
      <c r="A85" s="44" t="s">
        <v>902</v>
      </c>
      <c r="B85" s="79" t="s">
        <v>743</v>
      </c>
      <c r="C85" s="45">
        <v>1</v>
      </c>
      <c r="D85" s="85">
        <f>C8</f>
        <v>1</v>
      </c>
      <c r="E85" s="125" t="s">
        <v>142</v>
      </c>
      <c r="G85" s="181" t="s">
        <v>903</v>
      </c>
      <c r="H85" s="106" t="s">
        <v>904</v>
      </c>
      <c r="I85" s="181" t="s">
        <v>413</v>
      </c>
      <c r="J85" s="106">
        <v>4</v>
      </c>
      <c r="K85" s="106" t="s">
        <v>905</v>
      </c>
      <c r="M85" s="58" t="s">
        <v>62</v>
      </c>
      <c r="N85" s="92" t="s">
        <v>187</v>
      </c>
      <c r="O85" s="69" t="s">
        <v>139</v>
      </c>
      <c r="P85" s="192">
        <f>P83-(D78-P74)*P84</f>
        <v>1368</v>
      </c>
      <c r="Q85" s="71" t="s">
        <v>103</v>
      </c>
      <c r="S85" s="191" t="s">
        <v>906</v>
      </c>
      <c r="T85" s="92" t="str">
        <f>IF(OR(C51="A7",C51="KU3P"),"0x01100000","0x77601500")</f>
        <v>0x77601500</v>
      </c>
      <c r="U85" s="163" t="s">
        <v>179</v>
      </c>
      <c r="V85" s="92" t="s">
        <v>142</v>
      </c>
      <c r="W85" s="164" t="s">
        <v>180</v>
      </c>
      <c r="X85" s="194"/>
      <c r="Z85" s="174"/>
    </row>
    <row r="86" spans="1:26" s="174" customFormat="1" ht="119.25" hidden="1" customHeight="1" thickBot="1">
      <c r="A86" s="87" t="s">
        <v>416</v>
      </c>
      <c r="B86" s="66" t="s">
        <v>417</v>
      </c>
      <c r="C86" s="59">
        <v>1</v>
      </c>
      <c r="D86" s="88">
        <f>C9</f>
        <v>1</v>
      </c>
      <c r="E86" s="188" t="s">
        <v>142</v>
      </c>
      <c r="G86" s="195" t="s">
        <v>418</v>
      </c>
      <c r="H86" s="195" t="s">
        <v>419</v>
      </c>
      <c r="I86" s="195" t="s">
        <v>413</v>
      </c>
      <c r="J86" s="195">
        <f>POWER(2,ROUNDUP(LOG(IF(D53="rgb888",3*VLOOKUP($C$48,$S$50:$AT$58,11,FALSE)*VLOOKUP($C$48,$S$50:$AT$58,12,FALSE),IF(D53=12,2*VLOOKUP($C$48,$S$50:$AT$58,11,FALSE)*VLOOKUP($C$48,$S$50:$AT$58,12,FALSE),VLOOKUP($C$48,$S$50:$AT$58,11,FALSE)*VLOOKUP($C$48,$S$50:$AT$58,12,FALSE)))+P79+P80,2),0))</f>
        <v>8388608</v>
      </c>
      <c r="K86" s="195" t="s">
        <v>815</v>
      </c>
      <c r="M86" s="54" t="s">
        <v>61</v>
      </c>
      <c r="N86" s="56" t="s">
        <v>40</v>
      </c>
      <c r="O86" s="55" t="s">
        <v>214</v>
      </c>
      <c r="P86" s="70">
        <f>IF(MOD(P82,(D78-P74))=0,0,1)</f>
        <v>1</v>
      </c>
      <c r="Q86" s="71" t="s">
        <v>404</v>
      </c>
      <c r="S86" s="196" t="s">
        <v>507</v>
      </c>
      <c r="T86" s="67" t="s">
        <v>907</v>
      </c>
      <c r="U86" s="67" t="s">
        <v>644</v>
      </c>
      <c r="V86" s="67" t="s">
        <v>908</v>
      </c>
      <c r="W86" s="197" t="str">
        <f>"0x"&amp;DEC2HEX(D78-P74)</f>
        <v>0x5B8</v>
      </c>
      <c r="X86" s="198" t="s">
        <v>424</v>
      </c>
      <c r="Y86" s="21"/>
    </row>
    <row r="87" spans="1:26" s="174" customFormat="1" ht="55.5" hidden="1" customHeight="1" thickBot="1">
      <c r="A87" s="262" t="s">
        <v>509</v>
      </c>
      <c r="B87" s="263"/>
      <c r="C87" s="263"/>
      <c r="D87" s="263"/>
      <c r="E87" s="268"/>
      <c r="G87" s="189" t="s">
        <v>426</v>
      </c>
      <c r="H87" s="101" t="s">
        <v>427</v>
      </c>
      <c r="I87" s="189" t="s">
        <v>909</v>
      </c>
      <c r="J87" s="101">
        <f>IF(J85=1,1024*1024*1024,IF(J85=2,2*1024*1024*1024,4*1024*1024*1024))/(8*J86)-1</f>
        <v>63</v>
      </c>
      <c r="K87" s="101" t="s">
        <v>413</v>
      </c>
      <c r="M87" s="58" t="s">
        <v>63</v>
      </c>
      <c r="N87" s="92" t="s">
        <v>188</v>
      </c>
      <c r="O87" s="55" t="s">
        <v>140</v>
      </c>
      <c r="P87" s="192">
        <f>IF(P85&lt;P76,P76,P85)</f>
        <v>1368</v>
      </c>
      <c r="Q87" s="71" t="s">
        <v>103</v>
      </c>
      <c r="S87" s="191" t="s">
        <v>649</v>
      </c>
      <c r="T87" s="56" t="s">
        <v>510</v>
      </c>
      <c r="U87" s="56" t="s">
        <v>511</v>
      </c>
      <c r="V87" s="56" t="s">
        <v>512</v>
      </c>
      <c r="W87" s="56" t="str">
        <f>"0x"&amp;DEC2HEX(J71)</f>
        <v>0x0</v>
      </c>
      <c r="X87" s="269" t="s">
        <v>432</v>
      </c>
      <c r="Y87" s="21"/>
      <c r="Z87" s="21"/>
    </row>
    <row r="88" spans="1:26" s="174" customFormat="1" ht="86.25" hidden="1" customHeight="1" thickBot="1">
      <c r="A88" s="44" t="s">
        <v>433</v>
      </c>
      <c r="B88" s="79" t="s">
        <v>434</v>
      </c>
      <c r="C88" s="45">
        <v>1</v>
      </c>
      <c r="D88" s="85">
        <v>1</v>
      </c>
      <c r="E88" s="125" t="s">
        <v>142</v>
      </c>
      <c r="M88" s="54" t="s">
        <v>64</v>
      </c>
      <c r="N88" s="56" t="s">
        <v>189</v>
      </c>
      <c r="O88" s="55" t="s">
        <v>141</v>
      </c>
      <c r="P88" s="192">
        <f>P75+P74+P79</f>
        <v>98</v>
      </c>
      <c r="Q88" s="71" t="s">
        <v>103</v>
      </c>
      <c r="S88" s="199" t="s">
        <v>435</v>
      </c>
      <c r="T88" s="138" t="s">
        <v>910</v>
      </c>
      <c r="U88" s="138" t="s">
        <v>911</v>
      </c>
      <c r="V88" s="138" t="s">
        <v>912</v>
      </c>
      <c r="W88" s="138" t="str">
        <f>"0x"&amp;DEC2HEX(J70)</f>
        <v>0x2</v>
      </c>
      <c r="X88" s="270"/>
      <c r="Y88" s="21"/>
      <c r="Z88" s="21"/>
    </row>
    <row r="89" spans="1:26" s="21" customFormat="1" ht="52.5" hidden="1" customHeight="1" thickBot="1">
      <c r="A89" s="87" t="s">
        <v>439</v>
      </c>
      <c r="B89" s="66" t="s">
        <v>440</v>
      </c>
      <c r="C89" s="59">
        <v>1</v>
      </c>
      <c r="D89" s="88">
        <v>1</v>
      </c>
      <c r="E89" s="188" t="s">
        <v>142</v>
      </c>
      <c r="G89" s="174" t="s">
        <v>441</v>
      </c>
      <c r="H89" s="174">
        <f>C70*8*IF(D53=8,1,2)/J51/(IF(D85=2,2,1))</f>
        <v>3.8594594594594596</v>
      </c>
      <c r="I89" s="174" t="s">
        <v>913</v>
      </c>
      <c r="J89" s="174"/>
      <c r="K89" s="174"/>
      <c r="M89" s="54" t="s">
        <v>65</v>
      </c>
      <c r="N89" s="56" t="s">
        <v>190</v>
      </c>
      <c r="O89" s="55" t="s">
        <v>191</v>
      </c>
      <c r="P89" s="192">
        <f>P75+P74+P80</f>
        <v>72</v>
      </c>
      <c r="Q89" s="71" t="s">
        <v>103</v>
      </c>
      <c r="S89" s="200" t="s">
        <v>658</v>
      </c>
      <c r="T89" s="201" t="s">
        <v>659</v>
      </c>
      <c r="U89" s="202" t="s">
        <v>444</v>
      </c>
      <c r="V89" s="203" t="s">
        <v>518</v>
      </c>
      <c r="W89" s="204" t="str">
        <f>"0x"&amp;DEC2HEX(J61)</f>
        <v>0x0</v>
      </c>
      <c r="X89" s="165"/>
    </row>
    <row r="90" spans="1:26" s="21" customFormat="1" ht="66.75" hidden="1" customHeight="1" thickBot="1">
      <c r="A90" s="262" t="s">
        <v>519</v>
      </c>
      <c r="B90" s="263"/>
      <c r="C90" s="263"/>
      <c r="D90" s="263"/>
      <c r="E90" s="268"/>
      <c r="G90" s="174" t="s">
        <v>446</v>
      </c>
      <c r="H90" s="174">
        <f>J67*8/1000/1000/1000</f>
        <v>2.3434640500293682</v>
      </c>
      <c r="I90" s="174"/>
      <c r="J90" s="174"/>
      <c r="K90" s="174"/>
      <c r="M90" s="54" t="s">
        <v>66</v>
      </c>
      <c r="N90" s="56" t="s">
        <v>41</v>
      </c>
      <c r="O90" s="55" t="s">
        <v>447</v>
      </c>
      <c r="P90" s="192">
        <f>P84*(D78+P75)+P86*(P87+P75+P74)</f>
        <v>8478360</v>
      </c>
      <c r="Q90" s="71" t="s">
        <v>103</v>
      </c>
    </row>
    <row r="91" spans="1:26" s="21" customFormat="1" ht="45" hidden="1" customHeight="1">
      <c r="A91" s="44" t="s">
        <v>914</v>
      </c>
      <c r="B91" s="79" t="s">
        <v>434</v>
      </c>
      <c r="C91" s="45">
        <v>1</v>
      </c>
      <c r="D91" s="85">
        <v>1</v>
      </c>
      <c r="E91" s="125" t="s">
        <v>142</v>
      </c>
      <c r="G91" s="84" t="s">
        <v>915</v>
      </c>
      <c r="H91" s="84">
        <f>I91-H90</f>
        <v>9.4965359499706317</v>
      </c>
      <c r="I91" s="174">
        <f>16*0.74</f>
        <v>11.84</v>
      </c>
      <c r="M91" s="209" t="s">
        <v>67</v>
      </c>
      <c r="N91" s="56" t="s">
        <v>192</v>
      </c>
      <c r="O91" s="56" t="s">
        <v>193</v>
      </c>
      <c r="P91" s="210">
        <f>(2+P86+P84)*P98</f>
        <v>111160</v>
      </c>
      <c r="Q91" s="124" t="s">
        <v>103</v>
      </c>
      <c r="U91" s="115"/>
    </row>
    <row r="92" spans="1:26" s="21" customFormat="1" ht="45" hidden="1" customHeight="1" thickBot="1">
      <c r="A92" s="87" t="s">
        <v>439</v>
      </c>
      <c r="B92" s="66" t="s">
        <v>440</v>
      </c>
      <c r="C92" s="59">
        <v>1</v>
      </c>
      <c r="D92" s="88">
        <v>1</v>
      </c>
      <c r="E92" s="188" t="s">
        <v>142</v>
      </c>
      <c r="G92" s="84" t="s">
        <v>449</v>
      </c>
      <c r="H92" s="96">
        <f>H91-H89</f>
        <v>5.6370764905111717</v>
      </c>
      <c r="I92" s="84" t="s">
        <v>450</v>
      </c>
      <c r="M92" s="129" t="s">
        <v>68</v>
      </c>
      <c r="N92" s="92" t="s">
        <v>194</v>
      </c>
      <c r="O92" s="92" t="s">
        <v>144</v>
      </c>
      <c r="P92" s="187">
        <f>P88+P89+P90+P91</f>
        <v>8589690</v>
      </c>
      <c r="Q92" s="124" t="s">
        <v>103</v>
      </c>
      <c r="U92" s="115"/>
    </row>
    <row r="93" spans="1:26" s="21" customFormat="1" ht="45" hidden="1" customHeight="1">
      <c r="A93" s="245" t="s">
        <v>44</v>
      </c>
      <c r="B93" s="246"/>
      <c r="C93" s="246"/>
      <c r="D93" s="246"/>
      <c r="E93" s="247"/>
      <c r="G93" s="84" t="s">
        <v>451</v>
      </c>
      <c r="H93" s="84">
        <f>H89-H90</f>
        <v>1.5159954094300914</v>
      </c>
      <c r="I93" s="84" t="s">
        <v>916</v>
      </c>
      <c r="M93" s="209" t="s">
        <v>70</v>
      </c>
      <c r="N93" s="56" t="s">
        <v>69</v>
      </c>
      <c r="O93" s="56" t="s">
        <v>195</v>
      </c>
      <c r="P93" s="57">
        <f>INT(1000000*D77*(100-D80)/80)</f>
        <v>2968750000</v>
      </c>
      <c r="Q93" s="211" t="s">
        <v>196</v>
      </c>
      <c r="U93" s="115"/>
    </row>
    <row r="94" spans="1:26" s="21" customFormat="1" ht="60" hidden="1" customHeight="1" thickBot="1">
      <c r="A94" s="205" t="s">
        <v>43</v>
      </c>
      <c r="B94" s="206" t="s">
        <v>89</v>
      </c>
      <c r="C94" s="206"/>
      <c r="D94" s="207">
        <f>J53</f>
        <v>34.550668555436545</v>
      </c>
      <c r="E94" s="208"/>
      <c r="G94" s="84"/>
      <c r="H94" s="84"/>
      <c r="I94" s="84"/>
      <c r="M94" s="212" t="s">
        <v>72</v>
      </c>
      <c r="N94" s="90" t="s">
        <v>71</v>
      </c>
      <c r="O94" s="90" t="s">
        <v>215</v>
      </c>
      <c r="P94" s="108">
        <f>ROUNDUP(P92*1000000/P93,0)*10</f>
        <v>28940</v>
      </c>
      <c r="Q94" s="89" t="s">
        <v>110</v>
      </c>
    </row>
    <row r="95" spans="1:26" s="21" customFormat="1" ht="78" hidden="1" customHeight="1" thickBot="1">
      <c r="G95" s="84"/>
      <c r="H95" s="84"/>
      <c r="I95" s="84"/>
      <c r="M95" s="3" t="s">
        <v>453</v>
      </c>
      <c r="N95" s="189" t="s">
        <v>917</v>
      </c>
      <c r="O95" s="189" t="s">
        <v>918</v>
      </c>
      <c r="P95" s="213">
        <f>INT(1000000*D77*(100)/80)</f>
        <v>3125000000</v>
      </c>
      <c r="Q95" s="214" t="s">
        <v>455</v>
      </c>
    </row>
    <row r="96" spans="1:26" s="21" customFormat="1" ht="71.25" hidden="1" customHeight="1" thickBot="1">
      <c r="M96" s="215" t="s">
        <v>919</v>
      </c>
      <c r="N96" s="216" t="s">
        <v>457</v>
      </c>
      <c r="O96" s="217" t="s">
        <v>215</v>
      </c>
      <c r="P96" s="218">
        <f>IF(D56="Ultrashort",ROUNDUP(P92*1000000/P95,0)*10,ROUNDUP(ROUNDUP(P92*1000000/P95,0)*10*1000/J51,0))</f>
        <v>4644</v>
      </c>
      <c r="Q96" s="89" t="str">
        <f>IF(D56="Ultrashort","us","line")</f>
        <v>line</v>
      </c>
    </row>
    <row r="97" spans="1:46" s="21" customFormat="1" ht="30" hidden="1" customHeight="1" thickBot="1">
      <c r="M97" s="248" t="s">
        <v>458</v>
      </c>
      <c r="N97" s="249"/>
      <c r="O97" s="249"/>
      <c r="P97" s="249"/>
      <c r="Q97" s="250"/>
    </row>
    <row r="98" spans="1:46" s="21" customFormat="1" ht="45" hidden="1" customHeight="1">
      <c r="M98" s="219" t="s">
        <v>459</v>
      </c>
      <c r="N98" s="220" t="s">
        <v>460</v>
      </c>
      <c r="O98" s="56" t="s">
        <v>461</v>
      </c>
      <c r="P98" s="57">
        <f>MAX(ROUNDUP(D79*D77/1000/8,0),P73+8)</f>
        <v>20</v>
      </c>
      <c r="Q98" s="124" t="s">
        <v>462</v>
      </c>
    </row>
    <row r="99" spans="1:46" s="21" customFormat="1" ht="30" hidden="1" customHeight="1" thickBot="1">
      <c r="M99" s="136" t="s">
        <v>463</v>
      </c>
      <c r="N99" s="137" t="s">
        <v>464</v>
      </c>
      <c r="O99" s="138" t="s">
        <v>465</v>
      </c>
      <c r="P99" s="139">
        <f>ROUNDDOWN((P93-(P90+P89+P88))/(P84+P86+2),0)</f>
        <v>532614</v>
      </c>
      <c r="Q99" s="140" t="s">
        <v>462</v>
      </c>
    </row>
    <row r="100" spans="1:46" s="21" customFormat="1" ht="18.7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</row>
  </sheetData>
  <sheetProtection algorithmName="SHA-512" hashValue="uxTI62eNa6iDdmFBVCkpfmx1qSd3QH09mA6/hyYh1hRYjdLIQbEK4y6AraixYJveOiMo56wMnsWxSyhw2rx3gA==" saltValue="lpKfn3gMnAggxyf6gToJ4w==" spinCount="100000" sheet="1" objects="1" scenarios="1" selectLockedCells="1"/>
  <mergeCells count="29">
    <mergeCell ref="E48:E49"/>
    <mergeCell ref="G48:K48"/>
    <mergeCell ref="M48:Q48"/>
    <mergeCell ref="S48:AT48"/>
    <mergeCell ref="G49:K49"/>
    <mergeCell ref="M49:Q49"/>
    <mergeCell ref="S73:X73"/>
    <mergeCell ref="A50:E50"/>
    <mergeCell ref="A52:E52"/>
    <mergeCell ref="A54:E54"/>
    <mergeCell ref="G54:K54"/>
    <mergeCell ref="G59:K59"/>
    <mergeCell ref="A61:E61"/>
    <mergeCell ref="M64:Q64"/>
    <mergeCell ref="A65:E65"/>
    <mergeCell ref="G65:K65"/>
    <mergeCell ref="A67:D67"/>
    <mergeCell ref="A72:E72"/>
    <mergeCell ref="A74:E74"/>
    <mergeCell ref="A76:E76"/>
    <mergeCell ref="M77:Q77"/>
    <mergeCell ref="A81:E81"/>
    <mergeCell ref="A84:E84"/>
    <mergeCell ref="G84:K84"/>
    <mergeCell ref="A87:E87"/>
    <mergeCell ref="X87:X88"/>
    <mergeCell ref="A90:E90"/>
    <mergeCell ref="A93:E93"/>
    <mergeCell ref="M97:Q97"/>
  </mergeCells>
  <phoneticPr fontId="9" type="noConversion"/>
  <dataValidations count="41">
    <dataValidation type="custom" allowBlank="1" showInputMessage="1" showErrorMessage="1" error="Please enter 8、12、RGB8 or BGR8" sqref="C12">
      <formula1>OR((C12=8),(C12=12),(C12="RGB8"),(C12="BGR8"))</formula1>
    </dataValidation>
    <dataValidation allowBlank="1" showInputMessage="1" showErrorMessage="1" error="The setting value exceeds the reserved bandwidth range" sqref="C20"/>
    <dataValidation allowBlank="1" showInputMessage="1" showErrorMessage="1" error="Set the value to exceed the maximum" sqref="C15"/>
    <dataValidation type="custom" allowBlank="1" showInputMessage="1" showErrorMessage="1" error="Input 1 or 2" sqref="C8:C9">
      <formula1>AND(OR((C8=1),(C8=2)),C6=1)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type="custom" allowBlank="1" showInputMessage="1" showErrorMessage="1" error="Please enter 2500 or 1000" sqref="C18">
      <formula1>OR((C18=2500),(C18=1000))</formula1>
    </dataValidation>
    <dataValidation type="custom" allowBlank="1" showInputMessage="1" showErrorMessage="1" error="Please enter a 0 or 1" sqref="C21 C17">
      <formula1>OR((C17=0),(C17=1))</formula1>
    </dataValidation>
    <dataValidation type="custom" allowBlank="1" showInputMessage="1" showErrorMessage="1" error="Set the value range :[ 0.1,10000.0], accurate to one decimal" sqref="C16">
      <formula1>AND(TRUNC(C16,1)=C16,(C16&gt;=0.1),(C16&lt;=10000))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whole" allowBlank="1" showInputMessage="1" showErrorMessage="1" error="The input range :[3,15000000]" sqref="C10">
      <formula1>3</formula1>
      <formula2>15000000</formula2>
    </dataValidation>
    <dataValidation type="custom" allowBlank="1" showInputMessage="1" showErrorMessage="1" error="输入参数值为1或者2，并且当垂直像素抽样不为1时不能输入" sqref="C7">
      <formula1>AND(OR((C7=1),(C7=2)),C9=1)</formula1>
    </dataValidation>
    <dataValidation type="custom" allowBlank="1" showInputMessage="1" showErrorMessage="1" error="输入参数值为1或者2，并且当水平像素抽样不为1时不能输入" sqref="C6">
      <formula1>AND(OR((C6=1),(C6=2)),C8=1)</formula1>
    </dataValidation>
    <dataValidation allowBlank="1" showInputMessage="1" showErrorMessage="1" error="输入范围是64~1024，步长为2" sqref="A1:C1"/>
    <dataValidation type="whole" allowBlank="1" showInputMessage="1" showErrorMessage="1" error="Set the value range:[ 0,'GevSCPDMaxValue']" sqref="C14">
      <formula1>0</formula1>
      <formula2>C15</formula2>
    </dataValidation>
    <dataValidation type="custom" allowBlank="1" showInputMessage="1" showErrorMessage="1" error="Input range:[8,'HeightMax'],and is an integer multiple of 8" sqref="C5">
      <formula1>AND((C5&lt;=C3),(C5&gt;=8),(MOD(C5,8)=0))</formula1>
    </dataValidation>
    <dataValidation type="custom" allowBlank="1" showInputMessage="1" showErrorMessage="1" error="Input range:[8,'WidthMax'],and is an integer multiple of 8" sqref="C4">
      <formula1>AND((C4&lt;=C2),(C4&gt;=8),(MOD(C4,8)=0))</formula1>
    </dataValidation>
    <dataValidation type="whole" allowBlank="1" showInputMessage="1" showErrorMessage="1" error="The input range: [0,5000]" sqref="C11">
      <formula1>0</formula1>
      <formula2>5000</formula2>
    </dataValidation>
    <dataValidation type="list" allowBlank="1" showInputMessage="1" showErrorMessage="1" sqref="J85">
      <formula1>"1,2,4"</formula1>
    </dataValidation>
    <dataValidation type="list" allowBlank="1" showInputMessage="1" showErrorMessage="1" prompt="突发采集模式只能在触发模式下选择" sqref="D64">
      <formula1>"Standard,HighSpeed"</formula1>
    </dataValidation>
    <dataValidation type="whole" allowBlank="1" showInputMessage="1" showErrorMessage="1" errorTitle="输入数值非法" error="最小值4，最大值D12" sqref="D59">
      <formula1>0</formula1>
      <formula2>INT(J55*J51/1000)</formula2>
    </dataValidation>
    <dataValidation type="list" allowBlank="1" showInputMessage="1" showErrorMessage="1" sqref="D49">
      <formula1>"BPP8,BPP10,BPP12"</formula1>
    </dataValidation>
    <dataValidation type="whole" allowBlank="1" showInputMessage="1" showErrorMessage="1" errorTitle="设置值超出范围" error="包间隔设置值超出范围" sqref="D79">
      <formula1>0</formula1>
      <formula2>J73</formula2>
    </dataValidation>
    <dataValidation type="whole" allowBlank="1" showInputMessage="1" showErrorMessage="1" errorTitle="设置值超出范围" error="预留带宽设置值超出范围" sqref="D80">
      <formula1>0</formula1>
      <formula2>J75</formula2>
    </dataValidation>
    <dataValidation type="list" allowBlank="1" showInputMessage="1" showErrorMessage="1" errorTitle="超出范围" error="曝光时间的范围是14us-1s" sqref="D56">
      <formula1>"Standard,Ultrashort"</formula1>
    </dataValidation>
    <dataValidation type="whole" operator="lessThanOrEqual" allowBlank="1" showInputMessage="1" showErrorMessage="1" sqref="D68:D69">
      <formula1>C70</formula1>
    </dataValidation>
    <dataValidation type="whole" allowBlank="1" showInputMessage="1" showErrorMessage="1" errorTitle="输入数值非法" error="最小值2，最大值1000000" sqref="D60">
      <formula1>0</formula1>
      <formula2>1000000</formula2>
    </dataValidation>
    <dataValidation type="list" allowBlank="1" showInputMessage="1" showErrorMessage="1" errorTitle="超出范围" error="曝光时间的范围是14us-1s" sqref="D55">
      <formula1>"Timed,TriggerWidth"</formula1>
    </dataValidation>
    <dataValidation type="whole" operator="lessThanOrEqual" allowBlank="1" showInputMessage="1" showErrorMessage="1" error="Binning/Skipping系数最大为2" prompt="设置垂直Binning/Skipping时，需要同步修改垂直ROI" sqref="D89 D86 D92">
      <formula1>2</formula1>
    </dataValidation>
    <dataValidation type="whole" operator="lessThanOrEqual" allowBlank="1" showInputMessage="1" showErrorMessage="1" error="Binning/Skipping系数最大为2" prompt="设置水平Binning/Skipping时，需要同步修改水平ROI" sqref="D88 D85 D91">
      <formula1>2</formula1>
    </dataValidation>
    <dataValidation type="decimal" allowBlank="1" showInputMessage="1" showErrorMessage="1" sqref="D83">
      <formula1>0.1</formula1>
      <formula2>10000</formula2>
    </dataValidation>
    <dataValidation type="list" allowBlank="1" showInputMessage="1" showErrorMessage="1" errorTitle="超出范围" error="0:关闭_x000a_1:打开" sqref="D82">
      <formula1>"0,1"</formula1>
    </dataValidation>
    <dataValidation type="custom" allowBlank="1" showInputMessage="1" showErrorMessage="1" sqref="D78">
      <formula1>AND(MOD(D78,4)=0,D78&gt;=512,D78&lt;=16384)</formula1>
    </dataValidation>
    <dataValidation type="list" allowBlank="1" showInputMessage="1" showErrorMessage="1" sqref="D77">
      <formula1>"1000,2500"</formula1>
    </dataValidation>
    <dataValidation type="list" allowBlank="1" showInputMessage="1" showErrorMessage="1" sqref="D73 D75 D62:D63">
      <formula1>"0,1"</formula1>
    </dataValidation>
    <dataValidation type="whole" allowBlank="1" showInputMessage="1" showErrorMessage="1" errorTitle="输入数值非法" error="最小值2，最大值D13" sqref="D71">
      <formula1>2</formula1>
      <formula2>C71</formula2>
    </dataValidation>
    <dataValidation type="whole" allowBlank="1" showInputMessage="1" showErrorMessage="1" errorTitle="超出范围" error="曝光时间的范围是14us-1s" sqref="D57">
      <formula1>10</formula1>
      <formula2>1000000</formula2>
    </dataValidation>
    <dataValidation type="list" allowBlank="1" showInputMessage="1" showErrorMessage="1" sqref="D53">
      <formula1>"8,12"</formula1>
    </dataValidation>
    <dataValidation type="whole" allowBlank="1" showInputMessage="1" showErrorMessage="1" errorTitle="超出范围" error="曝光延迟的范围是0-5000us" sqref="D58">
      <formula1>0</formula1>
      <formula2>5000</formula2>
    </dataValidation>
    <dataValidation type="list" allowBlank="1" showInputMessage="1" showErrorMessage="1" sqref="C49">
      <formula1>$AQ$4:$AQ$7</formula1>
    </dataValidation>
    <dataValidation type="whole" allowBlank="1" showInputMessage="1" showErrorMessage="1" errorTitle="输入数值非法" error="最小值4，最大值D12" sqref="D70">
      <formula1>4</formula1>
      <formula2>C70</formula2>
    </dataValidation>
    <dataValidation type="whole" allowBlank="1" showInputMessage="1" showErrorMessage="1" errorTitle="超出范围" error="触发延时的范围是0-3000000us" sqref="D66">
      <formula1>0</formula1>
      <formula2>3000000</formula2>
    </dataValidation>
  </dataValidations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dbbd2ee9c94f3209ede74140058f6039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abba910608cab6dea4bfcf1650324a8f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0D5654-1F45-4172-A8BC-1799331C13A7}"/>
</file>

<file path=customXml/itemProps2.xml><?xml version="1.0" encoding="utf-8"?>
<ds:datastoreItem xmlns:ds="http://schemas.openxmlformats.org/officeDocument/2006/customXml" ds:itemID="{BAFF509F-1938-4439-83BC-A6FB8A44BD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Revision History</vt:lpstr>
      <vt:lpstr>MER3-1221-24G3X-P</vt:lpstr>
      <vt:lpstr>MER3-800-36G3X-P</vt:lpstr>
      <vt:lpstr>MER3-506-58G3X-P</vt:lpstr>
      <vt:lpstr>MER3-810-36G3M-P-UV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hanxue</dc:creator>
  <cp:lastModifiedBy>admin</cp:lastModifiedBy>
  <dcterms:created xsi:type="dcterms:W3CDTF">2016-03-14T05:10:00Z</dcterms:created>
  <dcterms:modified xsi:type="dcterms:W3CDTF">2024-04-24T02:08:07Z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C733713F96C5466092B262E52BE46803</vt:lpwstr>
  </property>
</Properties>
</file>