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27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9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1.xml" ContentType="application/vnd.openxmlformats-officedocument.spreadsheetml.worksheet+xml"/>
  <Override PartName="/xl/worksheets/sheet18.xml" ContentType="application/vnd.openxmlformats-officedocument.spreadsheetml.worksheet+xml"/>
  <Override PartName="/xl/worksheets/sheet20.xml" ContentType="application/vnd.openxmlformats-officedocument.spreadsheetml.worksheet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4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Releasesvn\pd_user_cd\Temp\Cameras\MER_Series_All_Camera\user_manual\pdf\帧率计算工具\"/>
    </mc:Choice>
  </mc:AlternateContent>
  <bookViews>
    <workbookView xWindow="0" yWindow="0" windowWidth="19200" windowHeight="17790" tabRatio="868"/>
  </bookViews>
  <sheets>
    <sheet name="Revision History" sheetId="15" r:id="rId1"/>
    <sheet name="MER2(ME2C)-041-302GX(-P)" sheetId="53" r:id="rId2"/>
    <sheet name="MER2(ME2C)-051-120GX(-P)" sheetId="71" r:id="rId3"/>
    <sheet name="MER2-134-90GX(-P)" sheetId="70" r:id="rId4"/>
    <sheet name="MER2(ME2C)-137-90GX(-P)" sheetId="72" r:id="rId5"/>
    <sheet name="MER2(ME2C)-160-75GX(-P)" sheetId="54" r:id="rId6"/>
    <sheet name="MER2(ME2C)-202-60GX(-P)" sheetId="47" r:id="rId7"/>
    <sheet name="MER2(ME2C)-231-41GX(-P)" sheetId="42" r:id="rId8"/>
    <sheet name="ME2C-240-48GX(-P)" sheetId="75" r:id="rId9"/>
    <sheet name="MER2(ME2C)-302-37GX(-P)" sheetId="46" r:id="rId10"/>
    <sheet name="MER2(ME2C)-503(501)-23GX(-P)" sheetId="51" r:id="rId11"/>
    <sheet name="MER2(ME2C)-507-23GX(-P)" sheetId="64" r:id="rId12"/>
    <sheet name="MER2(ME2C)-532-22GX" sheetId="73" r:id="rId13"/>
    <sheet name="MER2(ME2C)-630-18GX(-P)" sheetId="49" r:id="rId14"/>
    <sheet name="MER2(ME2C)-1070-10GX(-P)" sheetId="69" r:id="rId15"/>
    <sheet name="MER2(ME2C)-1220-9GX(-P)" sheetId="48" r:id="rId16"/>
    <sheet name="ME2P-1230-9GX-P" sheetId="56" r:id="rId17"/>
    <sheet name="ME2S-1260-9GX-P" sheetId="74" r:id="rId18"/>
    <sheet name="MER2(ME2C)-2000(2001)-6GX(-P)" sheetId="43" r:id="rId19"/>
    <sheet name="ME2P-2621-4GX-P(-G2)" sheetId="57" r:id="rId20"/>
    <sheet name="ME2P-560-21GX-P" sheetId="58" r:id="rId21"/>
    <sheet name="ME2P-900-13GX-P" sheetId="59" r:id="rId22"/>
    <sheet name="ME2P-1840-6GX-P" sheetId="60" r:id="rId23"/>
    <sheet name="ME2P-2000-6GX-P" sheetId="61" r:id="rId24"/>
    <sheet name="ME2P-1220-9GX-P" sheetId="62" r:id="rId25"/>
    <sheet name="ME2P-231-41GX-P" sheetId="63" r:id="rId26"/>
    <sheet name="ME2P-503-23GX-P" sheetId="65" r:id="rId27"/>
    <sheet name="ME2P-630-18GX-P" sheetId="66" r:id="rId28"/>
  </sheets>
  <definedNames>
    <definedName name="_xlnm._FilterDatabase" localSheetId="16" hidden="1">'ME2P-1230-9GX-P'!$C$34:$G$67</definedName>
    <definedName name="_xlnm._FilterDatabase" localSheetId="11" hidden="1">'MER2(ME2C)-507-23GX(-P)'!$A$1:$D$18</definedName>
    <definedName name="Z_9F73C155_CDDB_4969_BDA6_6B1932D3C988_.wvu.Rows" localSheetId="25" hidden="1">'ME2P-231-41GX-P'!$24:$41</definedName>
    <definedName name="Z_9F73C155_CDDB_4969_BDA6_6B1932D3C988_.wvu.Rows" localSheetId="7" hidden="1">'MER2(ME2C)-231-41GX(-P)'!#REF!</definedName>
  </definedNames>
  <calcPr calcId="152511"/>
  <customWorkbookViews>
    <customWorkbookView name="administrator - 个人视图" guid="{9F73C155-CDDB-4969-BDA6-6B1932D3C988}" personalView="1" maximized="1" windowWidth="1440" windowHeight="631" activeSheetId="0"/>
  </customWorkbookViews>
</workbook>
</file>

<file path=xl/calcChain.xml><?xml version="1.0" encoding="utf-8"?>
<calcChain xmlns="http://schemas.openxmlformats.org/spreadsheetml/2006/main">
  <c r="R66" i="75" l="1"/>
  <c r="R64" i="75"/>
  <c r="F52" i="75"/>
  <c r="E52" i="75"/>
  <c r="F51" i="75"/>
  <c r="L30" i="75" s="1"/>
  <c r="R50" i="75"/>
  <c r="F49" i="75"/>
  <c r="L40" i="75" s="1"/>
  <c r="F48" i="75"/>
  <c r="R47" i="75"/>
  <c r="L47" i="75"/>
  <c r="F47" i="75"/>
  <c r="Y46" i="75"/>
  <c r="R46" i="75"/>
  <c r="R59" i="75" s="1"/>
  <c r="Y45" i="75"/>
  <c r="R45" i="75"/>
  <c r="V44" i="75"/>
  <c r="V43" i="75"/>
  <c r="V42" i="75"/>
  <c r="F42" i="75"/>
  <c r="E42" i="75"/>
  <c r="V41" i="75"/>
  <c r="F41" i="75"/>
  <c r="R53" i="75" s="1"/>
  <c r="E41" i="75"/>
  <c r="V40" i="75"/>
  <c r="V39" i="75"/>
  <c r="V38" i="75"/>
  <c r="V37" i="75"/>
  <c r="Y36" i="75"/>
  <c r="V36" i="75"/>
  <c r="R34" i="75"/>
  <c r="L34" i="75"/>
  <c r="F34" i="75"/>
  <c r="L48" i="75" s="1"/>
  <c r="R33" i="75"/>
  <c r="R32" i="75"/>
  <c r="L35" i="75" s="1"/>
  <c r="L36" i="75" s="1"/>
  <c r="R31" i="75"/>
  <c r="R30" i="75"/>
  <c r="L33" i="75" s="1"/>
  <c r="Y37" i="75" s="1"/>
  <c r="F30" i="75"/>
  <c r="E30" i="75"/>
  <c r="R29" i="75"/>
  <c r="E29" i="75"/>
  <c r="R28" i="75"/>
  <c r="R27" i="75"/>
  <c r="F26" i="75"/>
  <c r="AH23" i="75" s="1"/>
  <c r="R25" i="75"/>
  <c r="R24" i="75"/>
  <c r="B13" i="75"/>
  <c r="C78" i="66"/>
  <c r="C80" i="66" s="1"/>
  <c r="C76" i="66" s="1"/>
  <c r="C77" i="66"/>
  <c r="C79" i="66" s="1"/>
  <c r="C75" i="66" s="1"/>
  <c r="C74" i="66"/>
  <c r="C73" i="66"/>
  <c r="C72" i="66"/>
  <c r="C71" i="66"/>
  <c r="C2" i="66" s="1"/>
  <c r="C70" i="66"/>
  <c r="C63" i="66"/>
  <c r="C62" i="66"/>
  <c r="C58" i="66"/>
  <c r="C56" i="66"/>
  <c r="C54" i="66"/>
  <c r="C48" i="66"/>
  <c r="C44" i="66"/>
  <c r="C40" i="66"/>
  <c r="C36" i="66"/>
  <c r="C37" i="66" s="1"/>
  <c r="C34" i="66"/>
  <c r="C25" i="66"/>
  <c r="C35" i="66" s="1"/>
  <c r="D5" i="66"/>
  <c r="C3" i="66"/>
  <c r="A68" i="65"/>
  <c r="C54" i="65"/>
  <c r="C50" i="65" s="1"/>
  <c r="C52" i="65"/>
  <c r="C48" i="65"/>
  <c r="C47" i="65"/>
  <c r="C45" i="65" s="1"/>
  <c r="C2" i="65" s="1"/>
  <c r="C46" i="65"/>
  <c r="C3" i="65" s="1"/>
  <c r="C43" i="65"/>
  <c r="C42" i="65" s="1"/>
  <c r="C39" i="65"/>
  <c r="C37" i="65"/>
  <c r="C35" i="65"/>
  <c r="C29" i="65"/>
  <c r="C24" i="65"/>
  <c r="C23" i="65"/>
  <c r="D5" i="65"/>
  <c r="C52" i="63"/>
  <c r="C48" i="63" s="1"/>
  <c r="C51" i="63"/>
  <c r="C53" i="63" s="1"/>
  <c r="C49" i="63" s="1"/>
  <c r="C24" i="63" s="1"/>
  <c r="C50" i="63"/>
  <c r="C47" i="63"/>
  <c r="C46" i="63"/>
  <c r="C39" i="63"/>
  <c r="C37" i="63"/>
  <c r="C35" i="63"/>
  <c r="C29" i="63"/>
  <c r="C26" i="63"/>
  <c r="C25" i="63"/>
  <c r="C27" i="63" s="1"/>
  <c r="C23" i="63"/>
  <c r="C32" i="63" s="1"/>
  <c r="D4" i="63"/>
  <c r="C3" i="63"/>
  <c r="D5" i="63" s="1"/>
  <c r="C2" i="63"/>
  <c r="J8" i="63" s="1"/>
  <c r="D57" i="63" s="1"/>
  <c r="C62" i="62"/>
  <c r="C64" i="62" s="1"/>
  <c r="C60" i="62" s="1"/>
  <c r="C61" i="62"/>
  <c r="C63" i="62" s="1"/>
  <c r="C59" i="62" s="1"/>
  <c r="C58" i="62"/>
  <c r="C57" i="62"/>
  <c r="C56" i="62"/>
  <c r="C55" i="62"/>
  <c r="C47" i="62"/>
  <c r="C45" i="62"/>
  <c r="C44" i="62"/>
  <c r="C15" i="62" s="1"/>
  <c r="C43" i="62"/>
  <c r="C40" i="62"/>
  <c r="C39" i="62"/>
  <c r="C38" i="62"/>
  <c r="C36" i="62"/>
  <c r="C33" i="62"/>
  <c r="C32" i="62"/>
  <c r="C34" i="62" s="1"/>
  <c r="C31" i="62"/>
  <c r="C27" i="62"/>
  <c r="C28" i="62" s="1"/>
  <c r="C26" i="62"/>
  <c r="C25" i="62"/>
  <c r="C24" i="62"/>
  <c r="D4" i="62"/>
  <c r="C3" i="62"/>
  <c r="D5" i="62" s="1"/>
  <c r="C2" i="62"/>
  <c r="J81" i="62" s="1"/>
  <c r="D68" i="62" s="1"/>
  <c r="C62" i="61"/>
  <c r="C64" i="61" s="1"/>
  <c r="C60" i="61" s="1"/>
  <c r="C61" i="61"/>
  <c r="C63" i="61" s="1"/>
  <c r="C59" i="61" s="1"/>
  <c r="C58" i="61"/>
  <c r="C57" i="61"/>
  <c r="C56" i="61"/>
  <c r="C55" i="61"/>
  <c r="C47" i="61"/>
  <c r="C45" i="61"/>
  <c r="C44" i="61"/>
  <c r="C15" i="61" s="1"/>
  <c r="C43" i="61"/>
  <c r="C49" i="61" s="1"/>
  <c r="C39" i="61"/>
  <c r="C38" i="61"/>
  <c r="D36" i="61"/>
  <c r="C36" i="61"/>
  <c r="C33" i="61"/>
  <c r="C32" i="61"/>
  <c r="C34" i="61" s="1"/>
  <c r="C31" i="61"/>
  <c r="C27" i="61"/>
  <c r="C28" i="61" s="1"/>
  <c r="C26" i="61"/>
  <c r="C25" i="61"/>
  <c r="C24" i="61"/>
  <c r="D4" i="61"/>
  <c r="C3" i="61"/>
  <c r="Q66" i="60"/>
  <c r="Q74" i="60" s="1"/>
  <c r="E65" i="60"/>
  <c r="E64" i="60"/>
  <c r="Q62" i="60"/>
  <c r="Q75" i="60" s="1"/>
  <c r="E62" i="60"/>
  <c r="D62" i="60"/>
  <c r="Q61" i="60"/>
  <c r="Q63" i="60" s="1"/>
  <c r="E61" i="60"/>
  <c r="E59" i="60"/>
  <c r="X58" i="60"/>
  <c r="E58" i="60"/>
  <c r="E57" i="60"/>
  <c r="E56" i="60"/>
  <c r="E52" i="60"/>
  <c r="D52" i="60"/>
  <c r="K51" i="60"/>
  <c r="E51" i="60"/>
  <c r="D51" i="60"/>
  <c r="B2" i="60" s="1"/>
  <c r="Q50" i="60"/>
  <c r="K50" i="60"/>
  <c r="X59" i="60" s="1"/>
  <c r="Q49" i="60"/>
  <c r="X63" i="60" s="1"/>
  <c r="Q48" i="60"/>
  <c r="Q47" i="60"/>
  <c r="K47" i="60"/>
  <c r="Q46" i="60"/>
  <c r="Q45" i="60"/>
  <c r="E45" i="60"/>
  <c r="Q44" i="60"/>
  <c r="E44" i="60"/>
  <c r="D44" i="60"/>
  <c r="E42" i="60"/>
  <c r="Q41" i="60"/>
  <c r="B3" i="60"/>
  <c r="C5" i="60" s="1"/>
  <c r="Q65" i="59"/>
  <c r="E65" i="59"/>
  <c r="E64" i="59"/>
  <c r="E62" i="59"/>
  <c r="K47" i="59" s="1"/>
  <c r="D62" i="59"/>
  <c r="Q61" i="59"/>
  <c r="E61" i="59"/>
  <c r="Q60" i="59"/>
  <c r="Q62" i="59" s="1"/>
  <c r="E59" i="59"/>
  <c r="E58" i="59"/>
  <c r="E57" i="59"/>
  <c r="E56" i="59"/>
  <c r="Q78" i="59" s="1"/>
  <c r="E52" i="59"/>
  <c r="D52" i="59"/>
  <c r="E51" i="59"/>
  <c r="Q67" i="59" s="1"/>
  <c r="D51" i="59"/>
  <c r="B2" i="59" s="1"/>
  <c r="K50" i="59"/>
  <c r="Q48" i="59"/>
  <c r="Q47" i="59"/>
  <c r="Q46" i="59"/>
  <c r="Q45" i="59"/>
  <c r="E45" i="59"/>
  <c r="K51" i="59" s="1"/>
  <c r="X58" i="59" s="1"/>
  <c r="Q44" i="59"/>
  <c r="E44" i="59"/>
  <c r="D44" i="59"/>
  <c r="AG42" i="59"/>
  <c r="Q42" i="59" s="1"/>
  <c r="K41" i="59" s="1"/>
  <c r="E42" i="59"/>
  <c r="AG43" i="59" s="1"/>
  <c r="AF41" i="59"/>
  <c r="Q41" i="59"/>
  <c r="AG40" i="59"/>
  <c r="C5" i="59"/>
  <c r="B3" i="59"/>
  <c r="Q67" i="58"/>
  <c r="Q65" i="58"/>
  <c r="E65" i="58"/>
  <c r="E64" i="58"/>
  <c r="E62" i="58"/>
  <c r="D62" i="58"/>
  <c r="Q61" i="58"/>
  <c r="E61" i="58"/>
  <c r="Q60" i="58"/>
  <c r="E59" i="58"/>
  <c r="E58" i="58"/>
  <c r="K57" i="58"/>
  <c r="E57" i="58"/>
  <c r="E56" i="58"/>
  <c r="Q78" i="58" s="1"/>
  <c r="E52" i="58"/>
  <c r="D52" i="58"/>
  <c r="B3" i="58" s="1"/>
  <c r="C5" i="58" s="1"/>
  <c r="K51" i="58"/>
  <c r="X58" i="58" s="1"/>
  <c r="E51" i="58"/>
  <c r="D51" i="58"/>
  <c r="Q48" i="58"/>
  <c r="Q47" i="58"/>
  <c r="K47" i="58"/>
  <c r="Q46" i="58"/>
  <c r="Q45" i="58"/>
  <c r="E45" i="58"/>
  <c r="Q44" i="58"/>
  <c r="E44" i="58"/>
  <c r="D44" i="58"/>
  <c r="E42" i="58"/>
  <c r="AF41" i="58"/>
  <c r="Q41" i="58"/>
  <c r="B2" i="58"/>
  <c r="Q78" i="57"/>
  <c r="Q65" i="57"/>
  <c r="E62" i="57"/>
  <c r="D62" i="57"/>
  <c r="Q61" i="57"/>
  <c r="Q73" i="57" s="1"/>
  <c r="E61" i="57"/>
  <c r="Q60" i="57"/>
  <c r="Q62" i="57" s="1"/>
  <c r="E59" i="57"/>
  <c r="E58" i="57"/>
  <c r="K57" i="57"/>
  <c r="E57" i="57"/>
  <c r="E56" i="57"/>
  <c r="E52" i="57"/>
  <c r="D52" i="57"/>
  <c r="B3" i="57" s="1"/>
  <c r="C5" i="57" s="1"/>
  <c r="K51" i="57"/>
  <c r="X58" i="57" s="1"/>
  <c r="E51" i="57"/>
  <c r="D51" i="57"/>
  <c r="Q49" i="57"/>
  <c r="Q48" i="57"/>
  <c r="Q47" i="57"/>
  <c r="K47" i="57"/>
  <c r="Q46" i="57"/>
  <c r="Q45" i="57"/>
  <c r="E45" i="57"/>
  <c r="Q44" i="57"/>
  <c r="E44" i="57"/>
  <c r="K50" i="57" s="1"/>
  <c r="D44" i="57"/>
  <c r="E42" i="57"/>
  <c r="Q67" i="57" s="1"/>
  <c r="Q41" i="57"/>
  <c r="AG40" i="57"/>
  <c r="Q42" i="57" s="1"/>
  <c r="C4" i="57"/>
  <c r="B2" i="57"/>
  <c r="H30" i="57" s="1"/>
  <c r="C21" i="57" s="1"/>
  <c r="C64" i="43"/>
  <c r="C60" i="43" s="1"/>
  <c r="C62" i="43"/>
  <c r="C58" i="43"/>
  <c r="C57" i="43"/>
  <c r="C55" i="43" s="1"/>
  <c r="C2" i="43" s="1"/>
  <c r="C56" i="43"/>
  <c r="C3" i="43" s="1"/>
  <c r="D5" i="43" s="1"/>
  <c r="C47" i="43"/>
  <c r="C45" i="43"/>
  <c r="C43" i="43"/>
  <c r="C40" i="43"/>
  <c r="C39" i="43"/>
  <c r="C38" i="43"/>
  <c r="C33" i="43"/>
  <c r="C32" i="43"/>
  <c r="C31" i="43"/>
  <c r="C36" i="43" s="1"/>
  <c r="C28" i="43"/>
  <c r="C27" i="43"/>
  <c r="C26" i="43"/>
  <c r="C25" i="43"/>
  <c r="C24" i="43"/>
  <c r="Q93" i="74"/>
  <c r="U79" i="74"/>
  <c r="W78" i="74"/>
  <c r="U78" i="74"/>
  <c r="P78" i="74"/>
  <c r="W77" i="74"/>
  <c r="U77" i="74"/>
  <c r="U75" i="74"/>
  <c r="P75" i="74"/>
  <c r="U74" i="74"/>
  <c r="P74" i="74"/>
  <c r="P88" i="74" s="1"/>
  <c r="D74" i="74"/>
  <c r="U73" i="74"/>
  <c r="P73" i="74"/>
  <c r="P87" i="74" s="1"/>
  <c r="D73" i="74"/>
  <c r="AE41" i="74" s="1"/>
  <c r="U72" i="74"/>
  <c r="D72" i="74"/>
  <c r="W71" i="74"/>
  <c r="U71" i="74"/>
  <c r="D71" i="74"/>
  <c r="W70" i="74"/>
  <c r="U69" i="74"/>
  <c r="D69" i="74"/>
  <c r="C69" i="74"/>
  <c r="D68" i="74"/>
  <c r="U67" i="74"/>
  <c r="U66" i="74"/>
  <c r="J66" i="74"/>
  <c r="D66" i="74"/>
  <c r="U65" i="74"/>
  <c r="D65" i="74"/>
  <c r="W74" i="74" s="1"/>
  <c r="U64" i="74"/>
  <c r="D64" i="74"/>
  <c r="W73" i="74" s="1"/>
  <c r="U63" i="74"/>
  <c r="D63" i="74"/>
  <c r="W62" i="74"/>
  <c r="P62" i="74"/>
  <c r="U61" i="74"/>
  <c r="P59" i="74"/>
  <c r="D59" i="74"/>
  <c r="P58" i="74"/>
  <c r="D58" i="74"/>
  <c r="P81" i="74" s="1"/>
  <c r="P57" i="74"/>
  <c r="P56" i="74"/>
  <c r="P55" i="74"/>
  <c r="K55" i="74"/>
  <c r="P54" i="74"/>
  <c r="P53" i="74"/>
  <c r="K52" i="74"/>
  <c r="P51" i="74"/>
  <c r="K51" i="74"/>
  <c r="D51" i="74"/>
  <c r="P50" i="74"/>
  <c r="J50" i="74"/>
  <c r="K48" i="74"/>
  <c r="D48" i="74"/>
  <c r="Q95" i="74" s="1"/>
  <c r="K47" i="74"/>
  <c r="D47" i="74"/>
  <c r="P46" i="74"/>
  <c r="K46" i="74"/>
  <c r="P45" i="74"/>
  <c r="K45" i="74"/>
  <c r="P44" i="74"/>
  <c r="P43" i="74"/>
  <c r="D42" i="74"/>
  <c r="A42" i="74"/>
  <c r="AL41" i="74"/>
  <c r="AJ41" i="74"/>
  <c r="AG41" i="74"/>
  <c r="AF41" i="74"/>
  <c r="P41" i="74"/>
  <c r="P42" i="74" s="1"/>
  <c r="C45" i="74" s="1"/>
  <c r="AL40" i="74"/>
  <c r="C47" i="74" s="1"/>
  <c r="AJ40" i="74"/>
  <c r="P52" i="74" s="1"/>
  <c r="AG40" i="74"/>
  <c r="P47" i="74" s="1"/>
  <c r="AF40" i="74"/>
  <c r="C59" i="74" s="1"/>
  <c r="AE40" i="74"/>
  <c r="C58" i="74" s="1"/>
  <c r="C31" i="74"/>
  <c r="C30" i="74"/>
  <c r="C29" i="74"/>
  <c r="C28" i="74"/>
  <c r="C2" i="74" s="1"/>
  <c r="C3" i="74"/>
  <c r="D5" i="74" s="1"/>
  <c r="S73" i="56"/>
  <c r="R72" i="56"/>
  <c r="Y64" i="56"/>
  <c r="F62" i="56"/>
  <c r="E62" i="56"/>
  <c r="F61" i="56"/>
  <c r="Y60" i="56"/>
  <c r="L60" i="56"/>
  <c r="R59" i="56"/>
  <c r="F59" i="56"/>
  <c r="F58" i="56"/>
  <c r="F57" i="56"/>
  <c r="R56" i="56"/>
  <c r="F56" i="56"/>
  <c r="R55" i="56"/>
  <c r="R68" i="56" s="1"/>
  <c r="R54" i="56"/>
  <c r="R67" i="56" s="1"/>
  <c r="L54" i="56"/>
  <c r="F52" i="56"/>
  <c r="E52" i="56"/>
  <c r="F51" i="56"/>
  <c r="E51" i="56"/>
  <c r="M50" i="56"/>
  <c r="L50" i="56"/>
  <c r="M47" i="56"/>
  <c r="M46" i="56"/>
  <c r="M44" i="56"/>
  <c r="R43" i="56"/>
  <c r="M43" i="56"/>
  <c r="R42" i="56"/>
  <c r="M42" i="56"/>
  <c r="F42" i="56"/>
  <c r="E42" i="56"/>
  <c r="R41" i="56"/>
  <c r="L41" i="56" s="1"/>
  <c r="M41" i="56"/>
  <c r="R39" i="56"/>
  <c r="R38" i="56"/>
  <c r="F38" i="56"/>
  <c r="R40" i="56" s="1"/>
  <c r="L37" i="56" s="1"/>
  <c r="L47" i="56" s="1"/>
  <c r="Y55" i="56" s="1"/>
  <c r="C38" i="56"/>
  <c r="R37" i="56"/>
  <c r="C58" i="48"/>
  <c r="C57" i="48"/>
  <c r="C49" i="48"/>
  <c r="C47" i="48"/>
  <c r="C45" i="48"/>
  <c r="C44" i="48"/>
  <c r="C15" i="48" s="1"/>
  <c r="C43" i="48"/>
  <c r="C40" i="48"/>
  <c r="C39" i="48"/>
  <c r="C38" i="48"/>
  <c r="C37" i="48"/>
  <c r="C35" i="48"/>
  <c r="C34" i="48"/>
  <c r="C33" i="48"/>
  <c r="C36" i="48" s="1"/>
  <c r="C32" i="48"/>
  <c r="C46" i="48" s="1"/>
  <c r="C48" i="48" s="1"/>
  <c r="C20" i="48" s="1"/>
  <c r="C31" i="48"/>
  <c r="C27" i="48"/>
  <c r="C28" i="48" s="1"/>
  <c r="C26" i="48"/>
  <c r="C25" i="48"/>
  <c r="C41" i="48" s="1"/>
  <c r="C24" i="48"/>
  <c r="Q147" i="69"/>
  <c r="P141" i="69"/>
  <c r="P135" i="69"/>
  <c r="P132" i="69"/>
  <c r="D129" i="69"/>
  <c r="W117" i="69" s="1"/>
  <c r="P128" i="69"/>
  <c r="P142" i="69" s="1"/>
  <c r="D128" i="69"/>
  <c r="W116" i="69" s="1"/>
  <c r="P127" i="69"/>
  <c r="P129" i="69" s="1"/>
  <c r="D126" i="69"/>
  <c r="W125" i="69"/>
  <c r="D125" i="69"/>
  <c r="D123" i="69"/>
  <c r="W122" i="69"/>
  <c r="D122" i="69"/>
  <c r="W121" i="69"/>
  <c r="D121" i="69"/>
  <c r="W124" i="69" s="1"/>
  <c r="W120" i="69"/>
  <c r="W119" i="69"/>
  <c r="W118" i="69"/>
  <c r="D116" i="69"/>
  <c r="D115" i="69"/>
  <c r="P114" i="69"/>
  <c r="X112" i="69"/>
  <c r="W112" i="69"/>
  <c r="K111" i="69"/>
  <c r="D111" i="69"/>
  <c r="W110" i="69"/>
  <c r="X110" i="69" s="1"/>
  <c r="K110" i="69"/>
  <c r="W109" i="69"/>
  <c r="W106" i="69" s="1"/>
  <c r="D109" i="69"/>
  <c r="W108" i="69"/>
  <c r="X108" i="69" s="1"/>
  <c r="K108" i="69"/>
  <c r="K107" i="69"/>
  <c r="J107" i="69"/>
  <c r="D107" i="69"/>
  <c r="X106" i="69"/>
  <c r="X104" i="69"/>
  <c r="W103" i="69"/>
  <c r="D103" i="69"/>
  <c r="C62" i="69"/>
  <c r="C64" i="69" s="1"/>
  <c r="C60" i="69" s="1"/>
  <c r="C58" i="69"/>
  <c r="C57" i="69"/>
  <c r="C61" i="69" s="1"/>
  <c r="C63" i="69" s="1"/>
  <c r="C59" i="69" s="1"/>
  <c r="C56" i="69"/>
  <c r="C3" i="69" s="1"/>
  <c r="D5" i="69" s="1"/>
  <c r="C78" i="49"/>
  <c r="C80" i="49" s="1"/>
  <c r="C76" i="49"/>
  <c r="C74" i="49"/>
  <c r="C72" i="49" s="1"/>
  <c r="C3" i="49" s="1"/>
  <c r="D5" i="49" s="1"/>
  <c r="C73" i="49"/>
  <c r="C77" i="49" s="1"/>
  <c r="C79" i="49" s="1"/>
  <c r="C75" i="49" s="1"/>
  <c r="C71" i="49"/>
  <c r="C70" i="49"/>
  <c r="C63" i="49"/>
  <c r="C62" i="49"/>
  <c r="C58" i="49"/>
  <c r="C56" i="49"/>
  <c r="C54" i="49"/>
  <c r="C48" i="49"/>
  <c r="C44" i="49"/>
  <c r="C41" i="49"/>
  <c r="C40" i="49"/>
  <c r="C35" i="49"/>
  <c r="C34" i="49"/>
  <c r="C25" i="49"/>
  <c r="C36" i="49" s="1"/>
  <c r="C37" i="49" s="1"/>
  <c r="D4" i="49"/>
  <c r="C2" i="49"/>
  <c r="J97" i="49" s="1"/>
  <c r="D84" i="49" s="1"/>
  <c r="Q93" i="73"/>
  <c r="U79" i="73"/>
  <c r="W78" i="73"/>
  <c r="U78" i="73"/>
  <c r="P78" i="73"/>
  <c r="W77" i="73"/>
  <c r="U77" i="73"/>
  <c r="U75" i="73"/>
  <c r="P75" i="73"/>
  <c r="U74" i="73"/>
  <c r="P74" i="73"/>
  <c r="D74" i="73"/>
  <c r="U73" i="73"/>
  <c r="P73" i="73"/>
  <c r="P88" i="73" s="1"/>
  <c r="D73" i="73"/>
  <c r="U72" i="73"/>
  <c r="D72" i="73"/>
  <c r="W71" i="73"/>
  <c r="U71" i="73"/>
  <c r="D71" i="73"/>
  <c r="W70" i="73"/>
  <c r="U69" i="73"/>
  <c r="D69" i="73"/>
  <c r="C69" i="73"/>
  <c r="D68" i="73"/>
  <c r="U67" i="73"/>
  <c r="U66" i="73"/>
  <c r="J66" i="73"/>
  <c r="D66" i="73"/>
  <c r="U65" i="73"/>
  <c r="D65" i="73"/>
  <c r="W74" i="73" s="1"/>
  <c r="U64" i="73"/>
  <c r="D64" i="73"/>
  <c r="W73" i="73" s="1"/>
  <c r="U63" i="73"/>
  <c r="D63" i="73"/>
  <c r="P92" i="73" s="1"/>
  <c r="W62" i="73"/>
  <c r="P62" i="73"/>
  <c r="U61" i="73"/>
  <c r="P59" i="73"/>
  <c r="D59" i="73"/>
  <c r="P58" i="73"/>
  <c r="D58" i="73"/>
  <c r="P81" i="73" s="1"/>
  <c r="P55" i="73"/>
  <c r="K55" i="73"/>
  <c r="P54" i="73"/>
  <c r="P53" i="73"/>
  <c r="K52" i="73"/>
  <c r="P51" i="73"/>
  <c r="K51" i="73"/>
  <c r="D51" i="73"/>
  <c r="J67" i="73" s="1"/>
  <c r="P50" i="73"/>
  <c r="J50" i="73"/>
  <c r="K48" i="73"/>
  <c r="D48" i="73"/>
  <c r="K47" i="73"/>
  <c r="D47" i="73"/>
  <c r="P46" i="73"/>
  <c r="K46" i="73"/>
  <c r="P45" i="73"/>
  <c r="K45" i="73"/>
  <c r="P44" i="73"/>
  <c r="P43" i="73"/>
  <c r="D42" i="73"/>
  <c r="A42" i="73"/>
  <c r="AL41" i="73"/>
  <c r="C47" i="73" s="1"/>
  <c r="AJ41" i="73"/>
  <c r="P52" i="73" s="1"/>
  <c r="AF41" i="73"/>
  <c r="C59" i="73" s="1"/>
  <c r="P41" i="73"/>
  <c r="P42" i="73" s="1"/>
  <c r="C31" i="73"/>
  <c r="C30" i="73"/>
  <c r="C29" i="73"/>
  <c r="C28" i="73"/>
  <c r="C3" i="73"/>
  <c r="D5" i="73" s="1"/>
  <c r="C2" i="73"/>
  <c r="S69" i="64"/>
  <c r="M64" i="64"/>
  <c r="M62" i="64" s="1"/>
  <c r="M65" i="64" s="1"/>
  <c r="M61" i="64"/>
  <c r="H59" i="64"/>
  <c r="H58" i="64"/>
  <c r="H57" i="64"/>
  <c r="H56" i="64"/>
  <c r="S59" i="64" s="1"/>
  <c r="H50" i="64"/>
  <c r="H49" i="64"/>
  <c r="M45" i="64" s="1"/>
  <c r="Z47" i="64"/>
  <c r="H47" i="64"/>
  <c r="S46" i="64"/>
  <c r="H46" i="64"/>
  <c r="S43" i="64"/>
  <c r="S42" i="64"/>
  <c r="S55" i="64" s="1"/>
  <c r="AB41" i="64"/>
  <c r="Z41" i="64"/>
  <c r="S41" i="64"/>
  <c r="AB40" i="64"/>
  <c r="Z40" i="64"/>
  <c r="Z39" i="64"/>
  <c r="H39" i="64"/>
  <c r="Z38" i="64"/>
  <c r="AA37" i="64"/>
  <c r="AB37" i="64" s="1"/>
  <c r="Z37" i="64"/>
  <c r="AA36" i="64"/>
  <c r="AB36" i="64" s="1"/>
  <c r="Z36" i="64"/>
  <c r="H36" i="64"/>
  <c r="AA41" i="64" s="1"/>
  <c r="Z35" i="64"/>
  <c r="AB34" i="64"/>
  <c r="AA34" i="64"/>
  <c r="Z34" i="64"/>
  <c r="M34" i="64"/>
  <c r="H34" i="64"/>
  <c r="AA33" i="64"/>
  <c r="Z33" i="64"/>
  <c r="J28" i="64"/>
  <c r="D18" i="64" s="1"/>
  <c r="D5" i="64"/>
  <c r="D4" i="64"/>
  <c r="C3" i="64"/>
  <c r="C2" i="64"/>
  <c r="A78" i="51"/>
  <c r="C58" i="51"/>
  <c r="C62" i="51" s="1"/>
  <c r="C64" i="51" s="1"/>
  <c r="C60" i="51" s="1"/>
  <c r="C57" i="51"/>
  <c r="C55" i="51" s="1"/>
  <c r="C2" i="51" s="1"/>
  <c r="C51" i="51"/>
  <c r="C48" i="51"/>
  <c r="C46" i="51"/>
  <c r="C44" i="51"/>
  <c r="C41" i="51"/>
  <c r="C36" i="51"/>
  <c r="C34" i="51"/>
  <c r="C35" i="51" s="1"/>
  <c r="C33" i="51"/>
  <c r="C32" i="51"/>
  <c r="C31" i="51"/>
  <c r="C30" i="51"/>
  <c r="C26" i="51"/>
  <c r="C24" i="51"/>
  <c r="C23" i="51"/>
  <c r="C22" i="51"/>
  <c r="C63" i="46"/>
  <c r="C65" i="46" s="1"/>
  <c r="C61" i="46" s="1"/>
  <c r="C60" i="46"/>
  <c r="C64" i="46" s="1"/>
  <c r="C66" i="46" s="1"/>
  <c r="C62" i="46" s="1"/>
  <c r="C24" i="46" s="1"/>
  <c r="C59" i="46"/>
  <c r="C57" i="46" s="1"/>
  <c r="C58" i="46"/>
  <c r="C3" i="46" s="1"/>
  <c r="D5" i="46" s="1"/>
  <c r="C49" i="46"/>
  <c r="C47" i="46"/>
  <c r="C45" i="46"/>
  <c r="C42" i="46"/>
  <c r="C41" i="46"/>
  <c r="C32" i="46"/>
  <c r="C31" i="46"/>
  <c r="C30" i="46"/>
  <c r="C39" i="46" s="1"/>
  <c r="C23" i="46"/>
  <c r="C22" i="46"/>
  <c r="C25" i="46" s="1"/>
  <c r="C2" i="46"/>
  <c r="J79" i="46" s="1"/>
  <c r="D69" i="46" s="1"/>
  <c r="D67" i="42"/>
  <c r="C61" i="42"/>
  <c r="C63" i="42" s="1"/>
  <c r="C59" i="42" s="1"/>
  <c r="C24" i="42" s="1"/>
  <c r="C57" i="42"/>
  <c r="C3" i="42" s="1"/>
  <c r="D5" i="42" s="1"/>
  <c r="C56" i="42"/>
  <c r="C60" i="42" s="1"/>
  <c r="C62" i="42" s="1"/>
  <c r="C58" i="42" s="1"/>
  <c r="C49" i="42"/>
  <c r="C48" i="42"/>
  <c r="C50" i="42" s="1"/>
  <c r="C20" i="42" s="1"/>
  <c r="C47" i="42"/>
  <c r="C45" i="42"/>
  <c r="C42" i="42"/>
  <c r="C41" i="42"/>
  <c r="C32" i="42"/>
  <c r="C31" i="42"/>
  <c r="C33" i="42" s="1"/>
  <c r="C46" i="42" s="1"/>
  <c r="C15" i="42" s="1"/>
  <c r="C30" i="42"/>
  <c r="C39" i="42" s="1"/>
  <c r="C26" i="42"/>
  <c r="C23" i="42"/>
  <c r="C22" i="42"/>
  <c r="C25" i="42" s="1"/>
  <c r="C2" i="42"/>
  <c r="J80" i="42" s="1"/>
  <c r="C63" i="47"/>
  <c r="C61" i="47"/>
  <c r="C60" i="47"/>
  <c r="C62" i="47" s="1"/>
  <c r="C58" i="47" s="1"/>
  <c r="C59" i="47"/>
  <c r="C25" i="47" s="1"/>
  <c r="C57" i="47"/>
  <c r="C56" i="47"/>
  <c r="C49" i="47"/>
  <c r="C48" i="47"/>
  <c r="C46" i="47"/>
  <c r="C44" i="47"/>
  <c r="C40" i="47"/>
  <c r="C39" i="47"/>
  <c r="C31" i="47"/>
  <c r="C27" i="47"/>
  <c r="C26" i="47"/>
  <c r="C28" i="47" s="1"/>
  <c r="C24" i="47"/>
  <c r="C3" i="47"/>
  <c r="C2" i="47"/>
  <c r="A74" i="54"/>
  <c r="C54" i="54"/>
  <c r="C58" i="54" s="1"/>
  <c r="C60" i="54" s="1"/>
  <c r="C56" i="54" s="1"/>
  <c r="C53" i="54"/>
  <c r="C57" i="54" s="1"/>
  <c r="C59" i="54" s="1"/>
  <c r="C55" i="54" s="1"/>
  <c r="C52" i="54"/>
  <c r="C3" i="54" s="1"/>
  <c r="C48" i="54"/>
  <c r="C47" i="54"/>
  <c r="C25" i="54" s="1"/>
  <c r="C44" i="54"/>
  <c r="C42" i="54"/>
  <c r="C41" i="54"/>
  <c r="C15" i="54" s="1"/>
  <c r="C40" i="54"/>
  <c r="C37" i="54"/>
  <c r="C33" i="54"/>
  <c r="C31" i="54"/>
  <c r="C32" i="54" s="1"/>
  <c r="C30" i="54"/>
  <c r="C26" i="54"/>
  <c r="C24" i="54"/>
  <c r="C23" i="54"/>
  <c r="B96" i="72"/>
  <c r="B98" i="72" s="1"/>
  <c r="B95" i="72"/>
  <c r="B97" i="72" s="1"/>
  <c r="B93" i="72"/>
  <c r="B92" i="72"/>
  <c r="B94" i="72" s="1"/>
  <c r="B91" i="72"/>
  <c r="B90" i="72"/>
  <c r="B3" i="72" s="1"/>
  <c r="C5" i="72" s="1"/>
  <c r="B89" i="72"/>
  <c r="B84" i="72"/>
  <c r="C83" i="72"/>
  <c r="B75" i="72"/>
  <c r="B71" i="72"/>
  <c r="B67" i="72"/>
  <c r="B69" i="72" s="1"/>
  <c r="B64" i="72"/>
  <c r="B54" i="72"/>
  <c r="B56" i="72" s="1"/>
  <c r="B53" i="72"/>
  <c r="B48" i="72"/>
  <c r="B47" i="72"/>
  <c r="B60" i="72" s="1"/>
  <c r="B28" i="72"/>
  <c r="B25" i="72"/>
  <c r="B2" i="72"/>
  <c r="C4" i="72" s="1"/>
  <c r="B98" i="70"/>
  <c r="B100" i="70" s="1"/>
  <c r="B97" i="70"/>
  <c r="B99" i="70" s="1"/>
  <c r="B95" i="70"/>
  <c r="B94" i="70"/>
  <c r="B92" i="70" s="1"/>
  <c r="B93" i="70"/>
  <c r="B44" i="70" s="1"/>
  <c r="B46" i="70" s="1"/>
  <c r="B91" i="70"/>
  <c r="B2" i="70" s="1"/>
  <c r="C4" i="70" s="1"/>
  <c r="B81" i="70"/>
  <c r="B79" i="70"/>
  <c r="B78" i="70"/>
  <c r="B15" i="70" s="1"/>
  <c r="B77" i="70"/>
  <c r="B74" i="70"/>
  <c r="B89" i="70" s="1"/>
  <c r="B72" i="70"/>
  <c r="B70" i="70"/>
  <c r="B64" i="70"/>
  <c r="B63" i="70"/>
  <c r="B80" i="70" s="1"/>
  <c r="B82" i="70" s="1"/>
  <c r="B20" i="70" s="1"/>
  <c r="B61" i="70"/>
  <c r="B57" i="70"/>
  <c r="B56" i="70"/>
  <c r="B49" i="70"/>
  <c r="B43" i="70"/>
  <c r="B48" i="70" s="1"/>
  <c r="B51" i="70" s="1"/>
  <c r="B88" i="70" s="1"/>
  <c r="B24" i="70"/>
  <c r="B3" i="70"/>
  <c r="C5" i="70" s="1"/>
  <c r="C97" i="71"/>
  <c r="C99" i="71" s="1"/>
  <c r="C94" i="71"/>
  <c r="C96" i="71" s="1"/>
  <c r="C93" i="71"/>
  <c r="C91" i="71" s="1"/>
  <c r="C92" i="71"/>
  <c r="C89" i="71"/>
  <c r="C81" i="71"/>
  <c r="C79" i="71"/>
  <c r="C77" i="71"/>
  <c r="C83" i="71" s="1"/>
  <c r="C74" i="71"/>
  <c r="C70" i="71"/>
  <c r="C61" i="71"/>
  <c r="C63" i="71" s="1"/>
  <c r="C57" i="71"/>
  <c r="C72" i="71" s="1"/>
  <c r="C56" i="71"/>
  <c r="C49" i="71"/>
  <c r="C48" i="71"/>
  <c r="C51" i="71" s="1"/>
  <c r="C88" i="71" s="1"/>
  <c r="C47" i="71"/>
  <c r="C45" i="71"/>
  <c r="C44" i="71"/>
  <c r="C46" i="71" s="1"/>
  <c r="C43" i="71"/>
  <c r="C24" i="71"/>
  <c r="C50" i="71" s="1"/>
  <c r="C3" i="71"/>
  <c r="D5" i="71" s="1"/>
  <c r="C2" i="71"/>
  <c r="D4" i="71" s="1"/>
  <c r="A74" i="53"/>
  <c r="C58" i="53"/>
  <c r="C60" i="53" s="1"/>
  <c r="C56" i="53" s="1"/>
  <c r="C57" i="53"/>
  <c r="C59" i="53" s="1"/>
  <c r="C55" i="53" s="1"/>
  <c r="C54" i="53"/>
  <c r="C52" i="53" s="1"/>
  <c r="C3" i="53" s="1"/>
  <c r="C53" i="53"/>
  <c r="C51" i="53"/>
  <c r="C48" i="53"/>
  <c r="C47" i="53"/>
  <c r="C44" i="53"/>
  <c r="C42" i="53"/>
  <c r="C26" i="53" s="1"/>
  <c r="C40" i="53"/>
  <c r="C30" i="53"/>
  <c r="C25" i="53"/>
  <c r="C24" i="53"/>
  <c r="C23" i="53"/>
  <c r="C37" i="53" s="1"/>
  <c r="C2" i="53"/>
  <c r="D4" i="53" s="1"/>
  <c r="D5" i="54" l="1"/>
  <c r="C29" i="54"/>
  <c r="B57" i="72"/>
  <c r="B62" i="72" s="1"/>
  <c r="D4" i="51"/>
  <c r="C87" i="71"/>
  <c r="C75" i="71"/>
  <c r="C27" i="53"/>
  <c r="C64" i="71"/>
  <c r="C62" i="71"/>
  <c r="C78" i="71"/>
  <c r="C15" i="71" s="1"/>
  <c r="C29" i="53"/>
  <c r="D5" i="53"/>
  <c r="P82" i="73"/>
  <c r="P85" i="73"/>
  <c r="P146" i="69"/>
  <c r="J121" i="69"/>
  <c r="C36" i="63"/>
  <c r="C15" i="63" s="1"/>
  <c r="C31" i="53"/>
  <c r="C32" i="53" s="1"/>
  <c r="J74" i="53"/>
  <c r="D63" i="53" s="1"/>
  <c r="C68" i="71"/>
  <c r="C98" i="71"/>
  <c r="C100" i="71" s="1"/>
  <c r="B45" i="70"/>
  <c r="B62" i="70"/>
  <c r="B68" i="70" s="1"/>
  <c r="B59" i="72"/>
  <c r="C34" i="54"/>
  <c r="C35" i="54" s="1"/>
  <c r="C36" i="54" s="1"/>
  <c r="C26" i="46"/>
  <c r="C47" i="51"/>
  <c r="C49" i="51" s="1"/>
  <c r="C20" i="51" s="1"/>
  <c r="C39" i="51"/>
  <c r="AA38" i="64"/>
  <c r="AB38" i="64" s="1"/>
  <c r="M42" i="64"/>
  <c r="P85" i="74"/>
  <c r="P82" i="74"/>
  <c r="X63" i="57"/>
  <c r="Q68" i="59"/>
  <c r="Q71" i="59"/>
  <c r="C46" i="62"/>
  <c r="C48" i="62" s="1"/>
  <c r="C20" i="62" s="1"/>
  <c r="C35" i="62"/>
  <c r="C37" i="62" s="1"/>
  <c r="C47" i="47"/>
  <c r="C34" i="47"/>
  <c r="C32" i="47"/>
  <c r="C33" i="47" s="1"/>
  <c r="C35" i="47" s="1"/>
  <c r="B47" i="70"/>
  <c r="B83" i="70"/>
  <c r="B49" i="72"/>
  <c r="B58" i="72" s="1"/>
  <c r="C43" i="54"/>
  <c r="C45" i="54" s="1"/>
  <c r="C20" i="54" s="1"/>
  <c r="C45" i="51"/>
  <c r="C15" i="51" s="1"/>
  <c r="C50" i="51"/>
  <c r="C61" i="51"/>
  <c r="C63" i="51" s="1"/>
  <c r="C59" i="51" s="1"/>
  <c r="E34" i="73"/>
  <c r="D24" i="73" s="1"/>
  <c r="D4" i="73"/>
  <c r="J55" i="73"/>
  <c r="J45" i="73"/>
  <c r="C50" i="48"/>
  <c r="D41" i="48"/>
  <c r="D4" i="74"/>
  <c r="E34" i="74"/>
  <c r="D24" i="74" s="1"/>
  <c r="Q71" i="57"/>
  <c r="Q68" i="57"/>
  <c r="D5" i="61"/>
  <c r="J76" i="61"/>
  <c r="D63" i="61" s="1"/>
  <c r="R54" i="75"/>
  <c r="R57" i="75"/>
  <c r="C33" i="53"/>
  <c r="W105" i="69"/>
  <c r="X105" i="69" s="1"/>
  <c r="X103" i="69"/>
  <c r="C34" i="53"/>
  <c r="D4" i="46"/>
  <c r="C46" i="46"/>
  <c r="X59" i="57"/>
  <c r="D4" i="66"/>
  <c r="J97" i="66"/>
  <c r="D84" i="66" s="1"/>
  <c r="C46" i="53"/>
  <c r="P139" i="69"/>
  <c r="P136" i="69"/>
  <c r="C55" i="48"/>
  <c r="C2" i="48" s="1"/>
  <c r="C61" i="48"/>
  <c r="C63" i="48" s="1"/>
  <c r="C59" i="48" s="1"/>
  <c r="K46" i="59"/>
  <c r="C43" i="53"/>
  <c r="C45" i="53" s="1"/>
  <c r="C20" i="53" s="1"/>
  <c r="C80" i="71"/>
  <c r="C82" i="71" s="1"/>
  <c r="C20" i="71" s="1"/>
  <c r="B55" i="72"/>
  <c r="B70" i="72"/>
  <c r="B85" i="72" s="1"/>
  <c r="C27" i="54"/>
  <c r="C38" i="54" s="1"/>
  <c r="C49" i="54" s="1"/>
  <c r="C39" i="54" s="1"/>
  <c r="C63" i="54" s="1"/>
  <c r="D4" i="42"/>
  <c r="C51" i="42"/>
  <c r="C25" i="51"/>
  <c r="C27" i="51" s="1"/>
  <c r="C52" i="51" s="1"/>
  <c r="C53" i="51" s="1"/>
  <c r="C43" i="51" s="1"/>
  <c r="C67" i="51" s="1"/>
  <c r="C42" i="51"/>
  <c r="C37" i="51"/>
  <c r="C38" i="51" s="1"/>
  <c r="C40" i="51" s="1"/>
  <c r="AA35" i="64"/>
  <c r="AB35" i="64" s="1"/>
  <c r="AB33" i="64"/>
  <c r="AG41" i="73"/>
  <c r="AE41" i="73"/>
  <c r="J103" i="69"/>
  <c r="Y62" i="56"/>
  <c r="AF43" i="59"/>
  <c r="C34" i="42"/>
  <c r="C36" i="42" s="1"/>
  <c r="C27" i="46"/>
  <c r="S48" i="64"/>
  <c r="X65" i="59"/>
  <c r="X63" i="59"/>
  <c r="L24" i="75"/>
  <c r="B67" i="70"/>
  <c r="B69" i="70" s="1"/>
  <c r="B71" i="70" s="1"/>
  <c r="B73" i="70" s="1"/>
  <c r="B90" i="70" s="1"/>
  <c r="B29" i="72"/>
  <c r="B86" i="72"/>
  <c r="C46" i="54"/>
  <c r="C45" i="47"/>
  <c r="C15" i="47" s="1"/>
  <c r="C51" i="47"/>
  <c r="C27" i="42"/>
  <c r="S54" i="64"/>
  <c r="P57" i="73"/>
  <c r="P94" i="73"/>
  <c r="J59" i="73"/>
  <c r="C42" i="49"/>
  <c r="C43" i="49" s="1"/>
  <c r="C46" i="49" s="1"/>
  <c r="W123" i="69"/>
  <c r="J117" i="69"/>
  <c r="L46" i="56"/>
  <c r="Y61" i="56"/>
  <c r="L49" i="56"/>
  <c r="Q68" i="58"/>
  <c r="Q71" i="58"/>
  <c r="C26" i="65"/>
  <c r="C25" i="65"/>
  <c r="C95" i="71"/>
  <c r="B96" i="70"/>
  <c r="C51" i="54"/>
  <c r="C2" i="54" s="1"/>
  <c r="C56" i="51"/>
  <c r="C3" i="51" s="1"/>
  <c r="D5" i="51" s="1"/>
  <c r="C55" i="69"/>
  <c r="C2" i="69" s="1"/>
  <c r="C62" i="48"/>
  <c r="C64" i="48" s="1"/>
  <c r="C60" i="48" s="1"/>
  <c r="C56" i="48"/>
  <c r="C3" i="48" s="1"/>
  <c r="D5" i="48" s="1"/>
  <c r="Y63" i="56"/>
  <c r="P94" i="74"/>
  <c r="J59" i="74"/>
  <c r="P92" i="74"/>
  <c r="H30" i="58"/>
  <c r="C21" i="58" s="1"/>
  <c r="Q74" i="58"/>
  <c r="Q73" i="58"/>
  <c r="K57" i="60"/>
  <c r="Q79" i="60"/>
  <c r="M43" i="64"/>
  <c r="M49" i="64" s="1"/>
  <c r="M48" i="64" s="1"/>
  <c r="P87" i="73"/>
  <c r="C50" i="49"/>
  <c r="L43" i="56"/>
  <c r="K41" i="57"/>
  <c r="X65" i="57" s="1"/>
  <c r="Q74" i="59"/>
  <c r="Q73" i="59"/>
  <c r="D29" i="75"/>
  <c r="J55" i="74"/>
  <c r="J45" i="74"/>
  <c r="C4" i="60"/>
  <c r="H30" i="60"/>
  <c r="C21" i="60" s="1"/>
  <c r="C41" i="62"/>
  <c r="C32" i="65"/>
  <c r="D4" i="65"/>
  <c r="J68" i="65"/>
  <c r="D57" i="65" s="1"/>
  <c r="Q95" i="73"/>
  <c r="C64" i="49"/>
  <c r="X109" i="69"/>
  <c r="Y54" i="56"/>
  <c r="P49" i="74"/>
  <c r="AG43" i="58"/>
  <c r="AG40" i="58"/>
  <c r="Q68" i="60"/>
  <c r="J41" i="74"/>
  <c r="J52" i="74" s="1"/>
  <c r="W63" i="74" s="1"/>
  <c r="C35" i="43"/>
  <c r="C37" i="43" s="1"/>
  <c r="C41" i="43" s="1"/>
  <c r="C49" i="43"/>
  <c r="C34" i="43"/>
  <c r="C46" i="43"/>
  <c r="C48" i="43" s="1"/>
  <c r="C20" i="43" s="1"/>
  <c r="C44" i="43"/>
  <c r="C15" i="43" s="1"/>
  <c r="Q62" i="58"/>
  <c r="X59" i="59"/>
  <c r="AG40" i="60"/>
  <c r="AG41" i="60"/>
  <c r="AG42" i="60"/>
  <c r="C31" i="65"/>
  <c r="C38" i="65"/>
  <c r="C40" i="65" s="1"/>
  <c r="C20" i="65" s="1"/>
  <c r="C30" i="65"/>
  <c r="C50" i="66"/>
  <c r="C41" i="66"/>
  <c r="C33" i="46"/>
  <c r="C34" i="46" s="1"/>
  <c r="C36" i="46" s="1"/>
  <c r="R61" i="56"/>
  <c r="P48" i="74"/>
  <c r="W61" i="74" s="1"/>
  <c r="J76" i="43"/>
  <c r="D68" i="43" s="1"/>
  <c r="D4" i="43"/>
  <c r="C4" i="59"/>
  <c r="H30" i="59"/>
  <c r="C21" i="59" s="1"/>
  <c r="AG43" i="60"/>
  <c r="C46" i="61"/>
  <c r="C48" i="61" s="1"/>
  <c r="C20" i="61" s="1"/>
  <c r="C35" i="61"/>
  <c r="C37" i="61" s="1"/>
  <c r="C41" i="61" s="1"/>
  <c r="C50" i="61" s="1"/>
  <c r="C49" i="62"/>
  <c r="C36" i="65"/>
  <c r="C15" i="65" s="1"/>
  <c r="Q74" i="57"/>
  <c r="C4" i="58"/>
  <c r="K50" i="58"/>
  <c r="K57" i="59"/>
  <c r="C40" i="61"/>
  <c r="C30" i="63"/>
  <c r="C31" i="63" s="1"/>
  <c r="C33" i="63" s="1"/>
  <c r="C38" i="63"/>
  <c r="C40" i="63" s="1"/>
  <c r="C20" i="63" s="1"/>
  <c r="C41" i="65"/>
  <c r="C64" i="66"/>
  <c r="R60" i="75"/>
  <c r="C61" i="43"/>
  <c r="C63" i="43" s="1"/>
  <c r="C59" i="43" s="1"/>
  <c r="K52" i="60"/>
  <c r="K53" i="60" s="1"/>
  <c r="C51" i="65"/>
  <c r="C53" i="65" s="1"/>
  <c r="C49" i="65" s="1"/>
  <c r="L46" i="75"/>
  <c r="AF40" i="59"/>
  <c r="AF42" i="59"/>
  <c r="Q43" i="59" s="1"/>
  <c r="K45" i="59" s="1"/>
  <c r="Y42" i="75"/>
  <c r="C41" i="63"/>
  <c r="J67" i="74"/>
  <c r="B88" i="72" l="1"/>
  <c r="X61" i="59"/>
  <c r="X62" i="59"/>
  <c r="C42" i="63"/>
  <c r="C43" i="63" s="1"/>
  <c r="C44" i="63" s="1"/>
  <c r="C34" i="63"/>
  <c r="C57" i="63" s="1"/>
  <c r="C51" i="61"/>
  <c r="C52" i="61" s="1"/>
  <c r="C53" i="61" s="1"/>
  <c r="C42" i="61"/>
  <c r="C68" i="61" s="1"/>
  <c r="C50" i="43"/>
  <c r="D41" i="43"/>
  <c r="C50" i="62"/>
  <c r="D41" i="62"/>
  <c r="D4" i="54"/>
  <c r="J74" i="54"/>
  <c r="D63" i="54" s="1"/>
  <c r="P83" i="74"/>
  <c r="C42" i="66"/>
  <c r="C43" i="66" s="1"/>
  <c r="C46" i="66" s="1"/>
  <c r="C45" i="49"/>
  <c r="C47" i="49" s="1"/>
  <c r="C49" i="49" s="1"/>
  <c r="C51" i="49" s="1"/>
  <c r="C67" i="49" s="1"/>
  <c r="C51" i="46"/>
  <c r="AG23" i="75"/>
  <c r="R26" i="75" s="1"/>
  <c r="L28" i="75" s="1"/>
  <c r="Y44" i="75"/>
  <c r="L29" i="75"/>
  <c r="J110" i="69"/>
  <c r="W111" i="69"/>
  <c r="W126" i="69"/>
  <c r="R55" i="75"/>
  <c r="C38" i="47"/>
  <c r="C50" i="47"/>
  <c r="C20" i="47" s="1"/>
  <c r="P90" i="74"/>
  <c r="Q42" i="60"/>
  <c r="K41" i="60" s="1"/>
  <c r="AF41" i="60"/>
  <c r="Q43" i="60" s="1"/>
  <c r="C58" i="73"/>
  <c r="P56" i="73"/>
  <c r="C27" i="65"/>
  <c r="C33" i="65" s="1"/>
  <c r="C34" i="65" s="1"/>
  <c r="C57" i="65" s="1"/>
  <c r="C48" i="46"/>
  <c r="C50" i="46" s="1"/>
  <c r="P47" i="73"/>
  <c r="P49" i="73"/>
  <c r="W72" i="73"/>
  <c r="AA47" i="64"/>
  <c r="AB47" i="64" s="1"/>
  <c r="C20" i="46"/>
  <c r="C15" i="46"/>
  <c r="Q72" i="60"/>
  <c r="Q69" i="60"/>
  <c r="J81" i="69"/>
  <c r="D68" i="69" s="1"/>
  <c r="D4" i="69"/>
  <c r="J81" i="48"/>
  <c r="D68" i="48" s="1"/>
  <c r="D4" i="48"/>
  <c r="Q76" i="59"/>
  <c r="C41" i="53"/>
  <c r="C15" i="53" s="1"/>
  <c r="S52" i="64"/>
  <c r="S49" i="64"/>
  <c r="L42" i="56"/>
  <c r="Y56" i="56"/>
  <c r="P138" i="69"/>
  <c r="P140" i="69" s="1"/>
  <c r="P137" i="69"/>
  <c r="Q69" i="57"/>
  <c r="Q76" i="57" s="1"/>
  <c r="C45" i="73"/>
  <c r="Q69" i="59"/>
  <c r="M44" i="64"/>
  <c r="M50" i="64"/>
  <c r="B50" i="70"/>
  <c r="J115" i="69"/>
  <c r="J78" i="51"/>
  <c r="D67" i="51" s="1"/>
  <c r="C55" i="49"/>
  <c r="C15" i="49" s="1"/>
  <c r="C51" i="48"/>
  <c r="C52" i="48" s="1"/>
  <c r="C53" i="48" s="1"/>
  <c r="C42" i="48"/>
  <c r="C68" i="48" s="1"/>
  <c r="C84" i="71"/>
  <c r="C76" i="71"/>
  <c r="C86" i="71" s="1"/>
  <c r="AF43" i="60"/>
  <c r="C35" i="46"/>
  <c r="C37" i="46" s="1"/>
  <c r="C38" i="46" s="1"/>
  <c r="C40" i="46" s="1"/>
  <c r="C43" i="46" s="1"/>
  <c r="C57" i="49"/>
  <c r="C59" i="49" s="1"/>
  <c r="C18" i="49" s="1"/>
  <c r="AQ40" i="74"/>
  <c r="P60" i="74" s="1"/>
  <c r="J54" i="74" s="1"/>
  <c r="W79" i="74"/>
  <c r="AR41" i="74"/>
  <c r="AQ41" i="74"/>
  <c r="AR40" i="74"/>
  <c r="P61" i="74" s="1"/>
  <c r="J51" i="74" s="1"/>
  <c r="W75" i="74"/>
  <c r="J65" i="74"/>
  <c r="W68" i="74" s="1"/>
  <c r="J47" i="74"/>
  <c r="AF40" i="57"/>
  <c r="Q43" i="57" s="1"/>
  <c r="K45" i="57" s="1"/>
  <c r="R65" i="56"/>
  <c r="R62" i="56"/>
  <c r="X59" i="58"/>
  <c r="AF42" i="60"/>
  <c r="Q42" i="58"/>
  <c r="K41" i="58" s="1"/>
  <c r="AF43" i="58" s="1"/>
  <c r="Q43" i="58" s="1"/>
  <c r="W72" i="74"/>
  <c r="A45" i="74"/>
  <c r="C35" i="42"/>
  <c r="C37" i="42" s="1"/>
  <c r="C38" i="42" s="1"/>
  <c r="C40" i="42" s="1"/>
  <c r="C43" i="42" s="1"/>
  <c r="Q70" i="58"/>
  <c r="Q72" i="58" s="1"/>
  <c r="Q69" i="58"/>
  <c r="Q76" i="58" s="1"/>
  <c r="B61" i="72"/>
  <c r="B77" i="72" s="1"/>
  <c r="B15" i="72" s="1"/>
  <c r="C35" i="53"/>
  <c r="C36" i="53" s="1"/>
  <c r="C38" i="53" s="1"/>
  <c r="C49" i="53" s="1"/>
  <c r="C39" i="53" s="1"/>
  <c r="C63" i="53" s="1"/>
  <c r="C36" i="47"/>
  <c r="C37" i="47" s="1"/>
  <c r="C42" i="47" s="1"/>
  <c r="P83" i="73"/>
  <c r="P90" i="73" s="1"/>
  <c r="C67" i="71"/>
  <c r="C69" i="71" s="1"/>
  <c r="C71" i="71" s="1"/>
  <c r="C73" i="71" s="1"/>
  <c r="C90" i="71" s="1"/>
  <c r="C44" i="42" l="1"/>
  <c r="C67" i="42" s="1"/>
  <c r="C52" i="42"/>
  <c r="C53" i="42" s="1"/>
  <c r="C54" i="42" s="1"/>
  <c r="X62" i="57"/>
  <c r="C52" i="46"/>
  <c r="D43" i="46"/>
  <c r="AR41" i="73"/>
  <c r="P61" i="73" s="1"/>
  <c r="AQ41" i="73"/>
  <c r="P60" i="73" s="1"/>
  <c r="W79" i="73"/>
  <c r="P84" i="73"/>
  <c r="P86" i="73" s="1"/>
  <c r="P143" i="69"/>
  <c r="J41" i="73"/>
  <c r="P48" i="73"/>
  <c r="W61" i="73" s="1"/>
  <c r="X65" i="60"/>
  <c r="K46" i="60"/>
  <c r="K45" i="60"/>
  <c r="AF40" i="60"/>
  <c r="Q71" i="60"/>
  <c r="Q73" i="60" s="1"/>
  <c r="Q70" i="60"/>
  <c r="K46" i="57"/>
  <c r="X61" i="57" s="1"/>
  <c r="C45" i="66"/>
  <c r="C47" i="66" s="1"/>
  <c r="C49" i="66" s="1"/>
  <c r="C51" i="66" s="1"/>
  <c r="C67" i="66" s="1"/>
  <c r="J46" i="74"/>
  <c r="W64" i="74"/>
  <c r="P144" i="69"/>
  <c r="Y58" i="56"/>
  <c r="Q77" i="60"/>
  <c r="P89" i="74"/>
  <c r="C57" i="66"/>
  <c r="C59" i="66" s="1"/>
  <c r="C18" i="66" s="1"/>
  <c r="B75" i="70"/>
  <c r="B87" i="70"/>
  <c r="X111" i="69"/>
  <c r="J108" i="69"/>
  <c r="J113" i="69"/>
  <c r="C43" i="47"/>
  <c r="C67" i="47" s="1"/>
  <c r="C52" i="47"/>
  <c r="C53" i="47" s="1"/>
  <c r="C54" i="47" s="1"/>
  <c r="Q70" i="59"/>
  <c r="Q72" i="59" s="1"/>
  <c r="Q75" i="59" s="1"/>
  <c r="C55" i="66"/>
  <c r="C15" i="66" s="1"/>
  <c r="Y41" i="75"/>
  <c r="Y40" i="75"/>
  <c r="P84" i="74"/>
  <c r="P86" i="74" s="1"/>
  <c r="P89" i="73"/>
  <c r="S50" i="64"/>
  <c r="R56" i="75"/>
  <c r="R58" i="75" s="1"/>
  <c r="R61" i="75" s="1"/>
  <c r="R62" i="75"/>
  <c r="Q75" i="57"/>
  <c r="X63" i="58"/>
  <c r="X65" i="58"/>
  <c r="AF42" i="58"/>
  <c r="K45" i="58"/>
  <c r="K46" i="58"/>
  <c r="C51" i="62"/>
  <c r="C52" i="62" s="1"/>
  <c r="C53" i="62" s="1"/>
  <c r="C42" i="62"/>
  <c r="C68" i="62" s="1"/>
  <c r="R63" i="56"/>
  <c r="R64" i="56"/>
  <c r="R66" i="56" s="1"/>
  <c r="Q75" i="58"/>
  <c r="R70" i="56"/>
  <c r="AF40" i="58"/>
  <c r="Q70" i="57"/>
  <c r="Q72" i="57" s="1"/>
  <c r="S57" i="64"/>
  <c r="B63" i="72"/>
  <c r="C65" i="49"/>
  <c r="C68" i="49"/>
  <c r="C42" i="43"/>
  <c r="C68" i="43" s="1"/>
  <c r="C51" i="43"/>
  <c r="C52" i="43" s="1"/>
  <c r="C53" i="43" s="1"/>
  <c r="R63" i="75" l="1"/>
  <c r="L42" i="75"/>
  <c r="Q77" i="59"/>
  <c r="K59" i="59"/>
  <c r="P91" i="74"/>
  <c r="J61" i="74"/>
  <c r="R69" i="56"/>
  <c r="R71" i="56" s="1"/>
  <c r="L56" i="56"/>
  <c r="K59" i="57"/>
  <c r="Q77" i="57"/>
  <c r="C68" i="66"/>
  <c r="C65" i="66"/>
  <c r="C44" i="46"/>
  <c r="C69" i="46" s="1"/>
  <c r="C53" i="46"/>
  <c r="C54" i="46" s="1"/>
  <c r="C55" i="46" s="1"/>
  <c r="Q76" i="60"/>
  <c r="P145" i="69"/>
  <c r="J123" i="69"/>
  <c r="W66" i="74"/>
  <c r="B65" i="72"/>
  <c r="B87" i="72" s="1"/>
  <c r="B81" i="72" s="1"/>
  <c r="B83" i="72" s="1"/>
  <c r="B78" i="72"/>
  <c r="J109" i="69"/>
  <c r="W115" i="69" s="1"/>
  <c r="J116" i="69"/>
  <c r="W75" i="73"/>
  <c r="J65" i="73"/>
  <c r="W68" i="73" s="1"/>
  <c r="J47" i="73"/>
  <c r="J52" i="73"/>
  <c r="W63" i="73" s="1"/>
  <c r="A45" i="73"/>
  <c r="X62" i="58"/>
  <c r="X61" i="58"/>
  <c r="S51" i="64"/>
  <c r="S53" i="64" s="1"/>
  <c r="S56" i="64" s="1"/>
  <c r="S58" i="64" s="1"/>
  <c r="S60" i="64" s="1"/>
  <c r="M46" i="64" s="1"/>
  <c r="AA39" i="64" s="1"/>
  <c r="C84" i="49"/>
  <c r="C69" i="49"/>
  <c r="J61" i="73"/>
  <c r="P91" i="73"/>
  <c r="B84" i="70"/>
  <c r="B76" i="70"/>
  <c r="B86" i="70" s="1"/>
  <c r="X62" i="60"/>
  <c r="X61" i="60"/>
  <c r="J54" i="73"/>
  <c r="Q77" i="58"/>
  <c r="K59" i="58"/>
  <c r="J51" i="73"/>
  <c r="M35" i="64" l="1"/>
  <c r="AB39" i="64"/>
  <c r="C58" i="56"/>
  <c r="B8" i="56"/>
  <c r="J46" i="73"/>
  <c r="W64" i="73"/>
  <c r="R73" i="56"/>
  <c r="L44" i="56" s="1"/>
  <c r="L58" i="56"/>
  <c r="P95" i="74"/>
  <c r="W67" i="74" s="1"/>
  <c r="J63" i="74"/>
  <c r="P93" i="74"/>
  <c r="J48" i="74" s="1"/>
  <c r="B58" i="58"/>
  <c r="B13" i="58"/>
  <c r="B13" i="59"/>
  <c r="B58" i="59"/>
  <c r="C15" i="73"/>
  <c r="A65" i="73"/>
  <c r="B73" i="72"/>
  <c r="B74" i="72"/>
  <c r="C84" i="66"/>
  <c r="C69" i="66"/>
  <c r="K61" i="59"/>
  <c r="Q79" i="59"/>
  <c r="K48" i="59" s="1"/>
  <c r="K61" i="58"/>
  <c r="Q79" i="58"/>
  <c r="K48" i="58" s="1"/>
  <c r="M68" i="64"/>
  <c r="C44" i="69"/>
  <c r="A122" i="69"/>
  <c r="C15" i="69"/>
  <c r="K61" i="57"/>
  <c r="Q79" i="57"/>
  <c r="K48" i="57" s="1"/>
  <c r="C48" i="75"/>
  <c r="B10" i="75"/>
  <c r="Q78" i="60"/>
  <c r="K59" i="60"/>
  <c r="A65" i="74"/>
  <c r="C15" i="74"/>
  <c r="P95" i="73"/>
  <c r="J63" i="73"/>
  <c r="P93" i="73"/>
  <c r="J48" i="73" s="1"/>
  <c r="J125" i="69"/>
  <c r="P147" i="69"/>
  <c r="J111" i="69" s="1"/>
  <c r="P115" i="69" s="1"/>
  <c r="P116" i="69"/>
  <c r="J114" i="69" s="1"/>
  <c r="B13" i="57"/>
  <c r="B58" i="57"/>
  <c r="R67" i="75"/>
  <c r="Y39" i="75" s="1"/>
  <c r="R65" i="75"/>
  <c r="L31" i="75" s="1"/>
  <c r="L44" i="75"/>
  <c r="C20" i="73" l="1"/>
  <c r="A66" i="73"/>
  <c r="K52" i="57"/>
  <c r="K53" i="57" s="1"/>
  <c r="K42" i="57" s="1"/>
  <c r="K43" i="57" s="1"/>
  <c r="X60" i="57"/>
  <c r="X60" i="59"/>
  <c r="K52" i="59"/>
  <c r="K53" i="59" s="1"/>
  <c r="K42" i="59" s="1"/>
  <c r="K43" i="59" s="1"/>
  <c r="Y57" i="56"/>
  <c r="L38" i="56"/>
  <c r="B18" i="58"/>
  <c r="B59" i="58"/>
  <c r="B18" i="59"/>
  <c r="B59" i="59"/>
  <c r="W67" i="73"/>
  <c r="J42" i="73"/>
  <c r="J43" i="73" s="1"/>
  <c r="W65" i="73"/>
  <c r="W66" i="73"/>
  <c r="C59" i="56"/>
  <c r="B13" i="56"/>
  <c r="B59" i="57"/>
  <c r="B18" i="57"/>
  <c r="B13" i="60"/>
  <c r="B58" i="60"/>
  <c r="W65" i="74"/>
  <c r="J42" i="74"/>
  <c r="J43" i="74" s="1"/>
  <c r="W107" i="69"/>
  <c r="X107" i="69" s="1"/>
  <c r="J104" i="69"/>
  <c r="J105" i="69" s="1"/>
  <c r="Q80" i="60"/>
  <c r="K48" i="60" s="1"/>
  <c r="K61" i="60"/>
  <c r="M70" i="64"/>
  <c r="M63" i="64" s="1"/>
  <c r="M60" i="64" s="1"/>
  <c r="C13" i="64" s="1"/>
  <c r="M66" i="64"/>
  <c r="M67" i="64" s="1"/>
  <c r="M58" i="64" s="1"/>
  <c r="C10" i="64" s="1"/>
  <c r="A66" i="74"/>
  <c r="C20" i="74"/>
  <c r="B15" i="75"/>
  <c r="C49" i="75"/>
  <c r="Y38" i="75"/>
  <c r="L25" i="75"/>
  <c r="L26" i="75" s="1"/>
  <c r="C20" i="69"/>
  <c r="A123" i="69"/>
  <c r="C48" i="69"/>
  <c r="K52" i="58"/>
  <c r="K53" i="58" s="1"/>
  <c r="K42" i="58" s="1"/>
  <c r="K43" i="58" s="1"/>
  <c r="X60" i="58"/>
  <c r="M36" i="64"/>
  <c r="M37" i="64" s="1"/>
  <c r="M55" i="64"/>
  <c r="D76" i="74" l="1"/>
  <c r="C24" i="74" s="1"/>
  <c r="J58" i="74"/>
  <c r="J57" i="74"/>
  <c r="E67" i="58"/>
  <c r="K56" i="58"/>
  <c r="K55" i="58"/>
  <c r="B21" i="58"/>
  <c r="B59" i="60"/>
  <c r="B18" i="60"/>
  <c r="X60" i="60"/>
  <c r="K42" i="60"/>
  <c r="K43" i="60" s="1"/>
  <c r="K55" i="57"/>
  <c r="B21" i="57"/>
  <c r="K56" i="57"/>
  <c r="E67" i="57"/>
  <c r="E67" i="59"/>
  <c r="B21" i="59"/>
  <c r="K56" i="59"/>
  <c r="K55" i="59"/>
  <c r="F60" i="75"/>
  <c r="B19" i="75"/>
  <c r="L38" i="75"/>
  <c r="L39" i="75"/>
  <c r="M51" i="64"/>
  <c r="C18" i="64"/>
  <c r="J119" i="69"/>
  <c r="C42" i="69"/>
  <c r="C68" i="69" s="1"/>
  <c r="J120" i="69"/>
  <c r="D131" i="69"/>
  <c r="L39" i="56"/>
  <c r="B14" i="56"/>
  <c r="D76" i="73"/>
  <c r="C24" i="73" s="1"/>
  <c r="J58" i="73"/>
  <c r="J57" i="73"/>
  <c r="B17" i="56" l="1"/>
  <c r="L52" i="56"/>
  <c r="F67" i="56"/>
  <c r="L53" i="56"/>
  <c r="E67" i="60"/>
  <c r="K56" i="60"/>
  <c r="K55" i="60"/>
  <c r="B21" i="60"/>
</calcChain>
</file>

<file path=xl/comments1.xml><?xml version="1.0" encoding="utf-8"?>
<comments xmlns="http://schemas.openxmlformats.org/spreadsheetml/2006/main">
  <authors>
    <author>作者</author>
  </authors>
  <commentList>
    <comment ref="K33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原描述“实际曝光时间”不准确，应该是“曝光信号实际长度”，已修改
（连采模式、非triggerwidth触发模式）时，等于FPGA曝光时间寄存器值，gmax sensor实际曝光时会多曝光end_dly，而实际曝光时间应与用户值相等。</t>
        </r>
      </text>
    </comment>
    <comment ref="K36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不会超过风险区有效长度：MIN(可响应触发区间，6H)，
曝光落入风险区往后延迟，曝光的时间不变，与寄存器设置值相等</t>
        </r>
      </text>
    </comment>
    <comment ref="K47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该参数是sensor实际的曝光时间</t>
        </r>
      </text>
    </comment>
    <comment ref="K48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该参数是FPGA输出到sensor的曝光信号长度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M48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-表示相机没有闪光灯输出</t>
        </r>
      </text>
    </comment>
    <comment ref="M49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0表示相机没有闪光灯输出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Y39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一个行正程内，所有demmy和black_referenc像素个数</t>
        </r>
      </text>
    </comment>
    <comment ref="AE40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包含差值列表ineterpolation_x</t>
        </r>
      </text>
    </comment>
    <comment ref="AF40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包含差值行ineterpolation_y</t>
        </r>
      </text>
    </comment>
    <comment ref="AJ40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SFOT值由integration_offset_coarse.控制，该寄存器默认值为0，设置为1作为余量</t>
        </r>
      </text>
    </comment>
    <comment ref="AA41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暂不使用黑行，设置黑行为0，但是信息行为1
</t>
        </r>
      </text>
    </comment>
    <comment ref="AJ41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SFOT导致的行暂停</t>
        </r>
      </text>
    </comment>
    <comment ref="AK41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EFOT再普通曝光和极小曝光下长度不变</t>
        </r>
      </text>
    </comment>
    <comment ref="D71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水平binning由FPGA实现</t>
        </r>
      </text>
    </comment>
    <comment ref="D72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垂直binning由FPGA实现</t>
        </r>
      </text>
    </comment>
    <comment ref="D73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水平skipping由sensor实现</t>
        </r>
      </text>
    </comment>
    <comment ref="D74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垂直skipping由sensor实现</t>
        </r>
      </text>
    </comment>
  </commentList>
</comments>
</file>

<file path=xl/comments4.xml><?xml version="1.0" encoding="utf-8"?>
<comments xmlns="http://schemas.openxmlformats.org/spreadsheetml/2006/main">
  <authors>
    <author>作者</author>
  </authors>
  <commentList>
    <comment ref="Y39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一个行正程内，所有demmy和black_referenc像素个数</t>
        </r>
      </text>
    </comment>
    <comment ref="AE40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包含差值列表ineterpolation_x</t>
        </r>
      </text>
    </comment>
    <comment ref="AF40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包含差值行ineterpolation_y</t>
        </r>
      </text>
    </comment>
    <comment ref="AJ40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SFOT值由integration_offset_coarse.控制，该寄存器默认值为0，设置为1作为余量</t>
        </r>
      </text>
    </comment>
    <comment ref="AS40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暂时先不做修正操作，按照设置和sensor自身特性来计算</t>
        </r>
      </text>
    </comment>
    <comment ref="AA41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暂不使用黑行，设置黑行为0，但是信息行为1
</t>
        </r>
      </text>
    </comment>
    <comment ref="AJ41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SFOT导致的行暂停</t>
        </r>
      </text>
    </comment>
    <comment ref="AK41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EFOT再普通曝光和极小曝光下长度不变</t>
        </r>
      </text>
    </comment>
    <comment ref="D71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水平binning由FPGA实现</t>
        </r>
      </text>
    </comment>
    <comment ref="D72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垂直binning由FPGA实现</t>
        </r>
      </text>
    </comment>
    <comment ref="D73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水平skipping由sensor实现</t>
        </r>
      </text>
    </comment>
    <comment ref="D74" authorId="0" shapeId="0">
      <text>
        <r>
          <rPr>
            <b/>
            <sz val="9"/>
            <rFont val="宋体"/>
            <family val="3"/>
            <charset val="134"/>
            <scheme val="minor"/>
          </rPr>
          <t>作者:</t>
        </r>
        <r>
          <rPr>
            <sz val="9"/>
            <rFont val="宋体"/>
            <family val="3"/>
            <charset val="134"/>
            <scheme val="minor"/>
          </rPr>
          <t xml:space="preserve">
垂直skipping由sensor实现</t>
        </r>
      </text>
    </comment>
  </commentList>
</comments>
</file>

<file path=xl/sharedStrings.xml><?xml version="1.0" encoding="utf-8"?>
<sst xmlns="http://schemas.openxmlformats.org/spreadsheetml/2006/main" count="6317" uniqueCount="1263">
  <si>
    <t>Version</t>
  </si>
  <si>
    <t>Revision</t>
  </si>
  <si>
    <t>Date</t>
  </si>
  <si>
    <t>1.0.0</t>
  </si>
  <si>
    <t>1、add WidthMax、HeightMax、BinningHorizontal、BinningVertical、DecimationHorizontal、DecimationVertical、ExposureDelay(us) in MER2-231-41GX</t>
  </si>
  <si>
    <t>2018.08.13</t>
  </si>
  <si>
    <t>1.0.1</t>
  </si>
  <si>
    <t>1、modify MER2-231-41GX the GevFramerateABS range to 0.1 - 10000</t>
  </si>
  <si>
    <t>2018.09.21</t>
  </si>
  <si>
    <t>1.0.2</t>
  </si>
  <si>
    <t xml:space="preserve">1、add MER2-2000-5GX </t>
  </si>
  <si>
    <t>2019.10.16</t>
  </si>
  <si>
    <t>1.0.3</t>
  </si>
  <si>
    <t xml:space="preserve">1、add MER2-302-40GX </t>
  </si>
  <si>
    <t>2020.02.11</t>
  </si>
  <si>
    <t>1.0.4</t>
  </si>
  <si>
    <t>1、modify MER2-302-40GX Cameras Names as  MER2-302-37GX</t>
  </si>
  <si>
    <t>2020.02.13</t>
  </si>
  <si>
    <t>1.0.5</t>
  </si>
  <si>
    <t>1、modify MER2-302-40GX binning range and decimation range</t>
  </si>
  <si>
    <t>2020.03.18</t>
  </si>
  <si>
    <t>1.0.6</t>
  </si>
  <si>
    <t xml:space="preserve">1、add MER2-202-60GX </t>
  </si>
  <si>
    <t>2020.03.20</t>
  </si>
  <si>
    <t>1.0.7</t>
  </si>
  <si>
    <t>1、modify MER2-202-60GX Hmax Value</t>
  </si>
  <si>
    <t>2020.03.23</t>
  </si>
  <si>
    <t>1.0.8</t>
  </si>
  <si>
    <t>1、Update MER2-202-60GX trigger parameter text format</t>
  </si>
  <si>
    <t>2020.03.25</t>
  </si>
  <si>
    <t>1.0.9</t>
  </si>
  <si>
    <t xml:space="preserve">1、add MER2-1220-9GX </t>
  </si>
  <si>
    <t>2020.03.27</t>
  </si>
  <si>
    <t>1.0.10</t>
  </si>
  <si>
    <t xml:space="preserve">1、add MER2-630-18GX </t>
  </si>
  <si>
    <t>2020.04.03</t>
  </si>
  <si>
    <t>1.0.11</t>
  </si>
  <si>
    <t>1、modify MER2-2000-5GX Cameras Names as  MER2-2000-6GX</t>
  </si>
  <si>
    <t>2020.04.17</t>
  </si>
  <si>
    <t>1.0.12</t>
  </si>
  <si>
    <t>1. Update the default GevSCPSPacketSize and BandwidthReserve of MER2-2000-6GX/MER2-202-60GX/MER2-302-37GX</t>
  </si>
  <si>
    <t>2020.04.28</t>
  </si>
  <si>
    <t>1.0.13</t>
  </si>
  <si>
    <t xml:space="preserve">1、add MER2-503-23GX </t>
  </si>
  <si>
    <t>2020.05.20</t>
  </si>
  <si>
    <t>1.0.14</t>
  </si>
  <si>
    <t>1、Update MER2-503-23GX Binning and Skipping</t>
  </si>
  <si>
    <t>2020.05.25</t>
  </si>
  <si>
    <t>1.0.15</t>
  </si>
  <si>
    <t>1、add ME2P-1230-9GX-P</t>
  </si>
  <si>
    <t>2020.06.15</t>
  </si>
  <si>
    <t>1.0.16</t>
  </si>
  <si>
    <t>1、add MER2-041-302GX、MER2-160-75GX</t>
  </si>
  <si>
    <t>2020.06.24</t>
  </si>
  <si>
    <t>1.0.17</t>
  </si>
  <si>
    <t>1、Modify the MER2-041-302GX and MER2-160-75GX pixel format to 12 bits</t>
  </si>
  <si>
    <t>2020.07.16</t>
  </si>
  <si>
    <t>1.0.18</t>
  </si>
  <si>
    <t>1、Update the MER2-041-302GX and MER2-160-75GX trigger mode</t>
  </si>
  <si>
    <t>2020.08.18</t>
  </si>
  <si>
    <t>1.0.19</t>
  </si>
  <si>
    <t>1、Update the MER2-041-302GX and MER2-160-75GX trigger mode Max Frame</t>
  </si>
  <si>
    <t>2020.08.24</t>
  </si>
  <si>
    <t>1.0.20</t>
  </si>
  <si>
    <r>
      <rPr>
        <sz val="11"/>
        <color theme="1"/>
        <rFont val="宋体"/>
        <family val="3"/>
        <charset val="134"/>
        <scheme val="minor"/>
      </rPr>
      <t xml:space="preserve">1、Modify mer2-160-75gx camera minimum height limit value of </t>
    </r>
    <r>
      <rPr>
        <sz val="11"/>
        <color theme="1"/>
        <rFont val="宋体"/>
        <family val="3"/>
        <charset val="134"/>
        <scheme val="minor"/>
      </rPr>
      <t>4</t>
    </r>
  </si>
  <si>
    <t>2020.09.08</t>
  </si>
  <si>
    <r>
      <rPr>
        <sz val="11"/>
        <color theme="1"/>
        <rFont val="宋体"/>
        <family val="3"/>
        <charset val="134"/>
        <scheme val="minor"/>
      </rPr>
      <t>1.0.</t>
    </r>
    <r>
      <rPr>
        <sz val="11"/>
        <color theme="1"/>
        <rFont val="宋体"/>
        <family val="3"/>
        <charset val="134"/>
        <scheme val="minor"/>
      </rPr>
      <t>21</t>
    </r>
  </si>
  <si>
    <r>
      <rPr>
        <sz val="11"/>
        <color theme="1"/>
        <rFont val="宋体"/>
        <family val="3"/>
        <charset val="134"/>
        <scheme val="minor"/>
      </rPr>
      <t>1、</t>
    </r>
    <r>
      <rPr>
        <sz val="11"/>
        <color theme="1"/>
        <rFont val="宋体"/>
        <family val="3"/>
        <charset val="134"/>
        <scheme val="minor"/>
      </rPr>
      <t>Delete MER2-160-75GX and MER2-041-302GX trigger mode</t>
    </r>
  </si>
  <si>
    <r>
      <rPr>
        <sz val="11"/>
        <color theme="1"/>
        <rFont val="宋体"/>
        <family val="3"/>
        <charset val="134"/>
        <scheme val="minor"/>
      </rPr>
      <t>2020.09.</t>
    </r>
    <r>
      <rPr>
        <sz val="11"/>
        <color theme="1"/>
        <rFont val="宋体"/>
        <family val="3"/>
        <charset val="134"/>
        <scheme val="minor"/>
      </rPr>
      <t>10</t>
    </r>
  </si>
  <si>
    <r>
      <rPr>
        <sz val="11"/>
        <color theme="1"/>
        <rFont val="宋体"/>
        <family val="3"/>
        <charset val="134"/>
        <scheme val="minor"/>
      </rPr>
      <t>1.0.</t>
    </r>
    <r>
      <rPr>
        <sz val="11"/>
        <color theme="1"/>
        <rFont val="宋体"/>
        <family val="3"/>
        <charset val="134"/>
        <scheme val="minor"/>
      </rPr>
      <t>22</t>
    </r>
  </si>
  <si>
    <r>
      <rPr>
        <sz val="11"/>
        <color theme="1"/>
        <rFont val="宋体"/>
        <family val="3"/>
        <charset val="134"/>
        <scheme val="minor"/>
      </rPr>
      <t>1、Modify</t>
    </r>
    <r>
      <rPr>
        <sz val="11"/>
        <color theme="1"/>
        <rFont val="宋体"/>
        <family val="3"/>
        <charset val="134"/>
        <scheme val="minor"/>
      </rPr>
      <t xml:space="preserve"> ME2P-1230-9GX-P</t>
    </r>
  </si>
  <si>
    <r>
      <rPr>
        <sz val="11"/>
        <color theme="1"/>
        <rFont val="宋体"/>
        <family val="3"/>
        <charset val="134"/>
        <scheme val="minor"/>
      </rPr>
      <t>2020.</t>
    </r>
    <r>
      <rPr>
        <sz val="11"/>
        <color theme="1"/>
        <rFont val="宋体"/>
        <family val="3"/>
        <charset val="134"/>
        <scheme val="minor"/>
      </rPr>
      <t>10</t>
    </r>
    <r>
      <rPr>
        <sz val="11"/>
        <color theme="1"/>
        <rFont val="宋体"/>
        <family val="3"/>
        <charset val="134"/>
        <scheme val="minor"/>
      </rPr>
      <t>.</t>
    </r>
    <r>
      <rPr>
        <sz val="11"/>
        <color theme="1"/>
        <rFont val="宋体"/>
        <family val="3"/>
        <charset val="134"/>
        <scheme val="minor"/>
      </rPr>
      <t>22</t>
    </r>
  </si>
  <si>
    <t>1.0.23</t>
  </si>
  <si>
    <t>1、Modified MER2-2000-6GX (POE), MER2-503-23GX (POE) frame rate calculation table based on MER2-2000-6GX and MER2-503-23-GX versions</t>
  </si>
  <si>
    <t>2020.11.03</t>
  </si>
  <si>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family val="3"/>
        <charset val="134"/>
        <scheme val="minor"/>
      </rPr>
      <t>.0.24</t>
    </r>
  </si>
  <si>
    <r>
      <rPr>
        <sz val="11"/>
        <color theme="1"/>
        <rFont val="宋体"/>
        <family val="3"/>
        <charset val="134"/>
        <scheme val="minor"/>
      </rPr>
      <t>1、add ME2P-</t>
    </r>
    <r>
      <rPr>
        <sz val="11"/>
        <color theme="1"/>
        <rFont val="宋体"/>
        <family val="3"/>
        <charset val="134"/>
        <scheme val="minor"/>
      </rPr>
      <t>2621</t>
    </r>
    <r>
      <rPr>
        <sz val="11"/>
        <color theme="1"/>
        <rFont val="宋体"/>
        <family val="3"/>
        <charset val="134"/>
        <scheme val="minor"/>
      </rPr>
      <t>-</t>
    </r>
    <r>
      <rPr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GX-P</t>
    </r>
  </si>
  <si>
    <r>
      <rPr>
        <sz val="11"/>
        <color theme="1"/>
        <rFont val="宋体"/>
        <family val="3"/>
        <charset val="134"/>
        <scheme val="minor"/>
      </rPr>
      <t>2020.</t>
    </r>
    <r>
      <rPr>
        <sz val="11"/>
        <color theme="1"/>
        <rFont val="宋体"/>
        <family val="3"/>
        <charset val="134"/>
        <scheme val="minor"/>
      </rPr>
      <t>11</t>
    </r>
    <r>
      <rPr>
        <sz val="11"/>
        <color theme="1"/>
        <rFont val="宋体"/>
        <family val="3"/>
        <charset val="134"/>
        <scheme val="minor"/>
      </rPr>
      <t>.1</t>
    </r>
    <r>
      <rPr>
        <sz val="11"/>
        <color theme="1"/>
        <rFont val="宋体"/>
        <family val="3"/>
        <charset val="134"/>
        <scheme val="minor"/>
      </rPr>
      <t>2</t>
    </r>
  </si>
  <si>
    <r>
      <rPr>
        <sz val="11"/>
        <color theme="1"/>
        <rFont val="宋体"/>
        <family val="3"/>
        <charset val="134"/>
        <scheme val="minor"/>
      </rPr>
      <t>1.0.2</t>
    </r>
    <r>
      <rPr>
        <sz val="11"/>
        <color theme="1"/>
        <rFont val="宋体"/>
        <family val="3"/>
        <charset val="134"/>
        <scheme val="minor"/>
      </rPr>
      <t>5</t>
    </r>
  </si>
  <si>
    <r>
      <rPr>
        <sz val="11"/>
        <color theme="1"/>
        <rFont val="宋体"/>
        <family val="3"/>
        <charset val="134"/>
        <scheme val="minor"/>
      </rPr>
      <t>1、Modified MER2-1220-9GX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family val="3"/>
        <charset val="134"/>
        <scheme val="minor"/>
      </rPr>
      <t>frame rate calculation table</t>
    </r>
  </si>
  <si>
    <t>2020.11.16</t>
  </si>
  <si>
    <t>1.0.26</t>
  </si>
  <si>
    <t>1、Modified MER2-630-18GX frame rate calculation table</t>
  </si>
  <si>
    <r>
      <rPr>
        <sz val="11"/>
        <color theme="1"/>
        <rFont val="宋体"/>
        <family val="3"/>
        <charset val="134"/>
        <scheme val="minor"/>
      </rPr>
      <t>2020.1</t>
    </r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.16</t>
    </r>
  </si>
  <si>
    <r>
      <rPr>
        <sz val="11"/>
        <color theme="1"/>
        <rFont val="宋体"/>
        <family val="3"/>
        <charset val="134"/>
        <scheme val="minor"/>
      </rPr>
      <t>1.0.2</t>
    </r>
    <r>
      <rPr>
        <sz val="11"/>
        <color theme="1"/>
        <rFont val="宋体"/>
        <family val="3"/>
        <charset val="134"/>
        <scheme val="minor"/>
      </rPr>
      <t>7</t>
    </r>
  </si>
  <si>
    <r>
      <rPr>
        <sz val="11"/>
        <color theme="1"/>
        <rFont val="宋体"/>
        <family val="3"/>
        <charset val="134"/>
        <scheme val="minor"/>
      </rPr>
      <t>1、</t>
    </r>
    <r>
      <rPr>
        <sz val="11"/>
        <color theme="1"/>
        <rFont val="宋体"/>
        <family val="3"/>
        <charset val="134"/>
        <scheme val="minor"/>
      </rPr>
      <t>add ME2P-560-21GX-P</t>
    </r>
  </si>
  <si>
    <t>2020.01.11</t>
  </si>
  <si>
    <t>1.0.28</t>
  </si>
  <si>
    <t>1、Modified ME2P-2621-4GX-P/ME2P-560-21GX-P frame rate calculation table</t>
  </si>
  <si>
    <t>2020.01.26</t>
  </si>
  <si>
    <t>1.0.29</t>
  </si>
  <si>
    <t>1、Modified MER2-231-41GX Width and Height min value</t>
  </si>
  <si>
    <t>1.0.30</t>
  </si>
  <si>
    <t>1、add ME2P-900-13GX-P</t>
  </si>
  <si>
    <t>2020.02.02</t>
  </si>
  <si>
    <t>1.0.31</t>
  </si>
  <si>
    <t>1、add MER2-041-302GX-P、MER2-160-75GX-P、MER2-202-60GX-P、MER2-231-41GX-P、MER2-302-37GX-P、MER2-630-18GX-P、MER2-1220-9GX-P</t>
  </si>
  <si>
    <t>2021.02.05</t>
  </si>
  <si>
    <t>1.0.32</t>
  </si>
  <si>
    <t>1、Modified ME2P-2621-4GX-P/ME2P-560-21GX-P/ME2P-900-13GX-P GevSCPDMaxValue with LinkSpeed is 100</t>
  </si>
  <si>
    <t>2021.03.04</t>
  </si>
  <si>
    <t>1.0.33</t>
  </si>
  <si>
    <t>1、add ME2P-1840-6GX-P</t>
  </si>
  <si>
    <t>2020.03.08</t>
  </si>
  <si>
    <t>1.0.34</t>
  </si>
  <si>
    <t xml:space="preserve">1、Modify the maximum value of the packet interval under the 100M network of the MER2 camera </t>
  </si>
  <si>
    <t>1.0.35</t>
  </si>
  <si>
    <t xml:space="preserve">1、Modify MER2-630-18gx trigger frame period </t>
  </si>
  <si>
    <t>2020.03.24</t>
  </si>
  <si>
    <t>1.0.36</t>
  </si>
  <si>
    <t xml:space="preserve">1、Modify the minimum height of MER2-503-23GX to 4 </t>
  </si>
  <si>
    <t>2020.04.13</t>
  </si>
  <si>
    <t>1.0.37</t>
  </si>
  <si>
    <t xml:space="preserve">1、Modify the value formula of the exposure frame period of the MER2-503-23GX camera </t>
  </si>
  <si>
    <t>2020.04.22</t>
  </si>
  <si>
    <r>
      <rPr>
        <sz val="11"/>
        <color theme="1"/>
        <rFont val="宋体"/>
        <family val="3"/>
        <charset val="134"/>
        <scheme val="minor"/>
      </rPr>
      <t>1.0.3</t>
    </r>
    <r>
      <rPr>
        <sz val="11"/>
        <color theme="1"/>
        <rFont val="宋体"/>
        <family val="3"/>
        <charset val="134"/>
        <scheme val="minor"/>
      </rPr>
      <t>8</t>
    </r>
  </si>
  <si>
    <r>
      <rPr>
        <sz val="11"/>
        <color theme="1"/>
        <rFont val="宋体"/>
        <family val="3"/>
        <charset val="134"/>
        <scheme val="minor"/>
      </rPr>
      <t>1、Modify the value formula of the transfer</t>
    </r>
    <r>
      <rPr>
        <sz val="11"/>
        <color theme="1"/>
        <rFont val="宋体"/>
        <family val="3"/>
        <charset val="134"/>
        <scheme val="minor"/>
      </rPr>
      <t xml:space="preserve"> frame period of the MER2-</t>
    </r>
    <r>
      <rPr>
        <sz val="11"/>
        <color theme="1"/>
        <rFont val="宋体"/>
        <family val="3"/>
        <charset val="134"/>
        <scheme val="minor"/>
      </rPr>
      <t>2000</t>
    </r>
    <r>
      <rPr>
        <sz val="11"/>
        <color theme="1"/>
        <rFont val="宋体"/>
        <family val="3"/>
        <charset val="134"/>
        <scheme val="minor"/>
      </rPr>
      <t>-</t>
    </r>
    <r>
      <rPr>
        <sz val="11"/>
        <color theme="1"/>
        <rFont val="宋体"/>
        <family val="3"/>
        <charset val="134"/>
        <scheme val="minor"/>
      </rPr>
      <t>6</t>
    </r>
    <r>
      <rPr>
        <sz val="11"/>
        <color theme="1"/>
        <rFont val="宋体"/>
        <family val="3"/>
        <charset val="134"/>
        <scheme val="minor"/>
      </rPr>
      <t xml:space="preserve">GX camera </t>
    </r>
  </si>
  <si>
    <r>
      <rPr>
        <sz val="11"/>
        <color theme="1"/>
        <rFont val="宋体"/>
        <family val="3"/>
        <charset val="134"/>
        <scheme val="minor"/>
      </rPr>
      <t>1.0.39</t>
    </r>
  </si>
  <si>
    <t>1、add ME2P-2000-6GX-P</t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</si>
  <si>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020.09.01</t>
    </r>
  </si>
  <si>
    <r>
      <rPr>
        <sz val="11"/>
        <color theme="1"/>
        <rFont val="宋体"/>
        <family val="3"/>
        <charset val="134"/>
        <scheme val="minor"/>
      </rPr>
      <t>1.0.40</t>
    </r>
  </si>
  <si>
    <t>1、add ME2P-2621-4GX-P-G2</t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</si>
  <si>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020.09.10</t>
    </r>
  </si>
  <si>
    <r>
      <rPr>
        <sz val="11"/>
        <color theme="1"/>
        <rFont val="宋体"/>
        <family val="3"/>
        <charset val="134"/>
        <scheme val="minor"/>
      </rPr>
      <t>1.0.41</t>
    </r>
  </si>
  <si>
    <t>1、add ME2P-1220-9GX-P/ME2P-231-41GX-P/ME2P-503-23GX-P</t>
  </si>
  <si>
    <t>2020.09.13</t>
  </si>
  <si>
    <r>
      <rPr>
        <sz val="11"/>
        <color theme="1"/>
        <rFont val="宋体"/>
        <family val="3"/>
        <charset val="134"/>
        <scheme val="minor"/>
      </rPr>
      <t>1.0.42</t>
    </r>
  </si>
  <si>
    <t>1、add ME2P-630-18GX-P</t>
  </si>
  <si>
    <t>2020.09.24</t>
  </si>
  <si>
    <r>
      <rPr>
        <sz val="11"/>
        <color theme="1"/>
        <rFont val="宋体"/>
        <family val="3"/>
        <charset val="134"/>
        <scheme val="minor"/>
      </rPr>
      <t>1.0.43</t>
    </r>
  </si>
  <si>
    <t>1、add MER2-507-23GX(POE)</t>
  </si>
  <si>
    <t>2020.10.08</t>
  </si>
  <si>
    <t>1.0.44</t>
  </si>
  <si>
    <t>1、Modify the min frame rate of MER2-507-23GX(POE)</t>
  </si>
  <si>
    <t>2020.10.25</t>
  </si>
  <si>
    <t>1.0.45</t>
  </si>
  <si>
    <t>1、Modify the frame rate of MER2-202-60GX(POE)</t>
  </si>
  <si>
    <t>2022.2.16</t>
  </si>
  <si>
    <t>1.0.46</t>
  </si>
  <si>
    <t>1、Modify the frame rate of MER2-630-18GX(POE)</t>
  </si>
  <si>
    <t>2022.2.19</t>
  </si>
  <si>
    <t>1.0.47</t>
  </si>
  <si>
    <t>1、add MER2-1070-10GX</t>
  </si>
  <si>
    <t>2022.3.8</t>
  </si>
  <si>
    <r>
      <rPr>
        <sz val="11"/>
        <color theme="1"/>
        <rFont val="宋体"/>
        <family val="3"/>
        <charset val="134"/>
        <scheme val="minor"/>
      </rPr>
      <t>1.0.4</t>
    </r>
    <r>
      <rPr>
        <sz val="11"/>
        <color theme="1"/>
        <rFont val="宋体"/>
        <family val="3"/>
        <charset val="134"/>
        <scheme val="minor"/>
      </rPr>
      <t>8</t>
    </r>
  </si>
  <si>
    <t>1、Modify the frame rate of MER2-302-37GX(POE)</t>
  </si>
  <si>
    <r>
      <rPr>
        <sz val="11"/>
        <color theme="1"/>
        <rFont val="宋体"/>
        <family val="3"/>
        <charset val="134"/>
        <scheme val="minor"/>
      </rPr>
      <t>2022.</t>
    </r>
    <r>
      <rPr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3"/>
        <charset val="134"/>
        <scheme val="minor"/>
      </rPr>
      <t>.</t>
    </r>
    <r>
      <rPr>
        <sz val="11"/>
        <color theme="1"/>
        <rFont val="宋体"/>
        <family val="3"/>
        <charset val="134"/>
        <scheme val="minor"/>
      </rPr>
      <t>10</t>
    </r>
  </si>
  <si>
    <r>
      <rPr>
        <sz val="11"/>
        <color theme="1"/>
        <rFont val="宋体"/>
        <family val="3"/>
        <charset val="134"/>
        <scheme val="minor"/>
      </rPr>
      <t>1.0.4</t>
    </r>
    <r>
      <rPr>
        <sz val="11"/>
        <color theme="1"/>
        <rFont val="宋体"/>
        <family val="3"/>
        <charset val="134"/>
        <scheme val="minor"/>
      </rPr>
      <t>9</t>
    </r>
  </si>
  <si>
    <t>1、Modify the frame rate of MER2-231-41GX(POE)</t>
  </si>
  <si>
    <r>
      <rPr>
        <sz val="11"/>
        <color theme="1"/>
        <rFont val="宋体"/>
        <family val="3"/>
        <charset val="134"/>
        <scheme val="minor"/>
      </rPr>
      <t>2022.</t>
    </r>
    <r>
      <rPr>
        <sz val="11"/>
        <color theme="1"/>
        <rFont val="宋体"/>
        <family val="3"/>
        <charset val="134"/>
        <scheme val="minor"/>
      </rPr>
      <t>3.15</t>
    </r>
  </si>
  <si>
    <t>1.0.50</t>
  </si>
  <si>
    <t>1、Modify the frame rate of MER2-202-60GX(POE)
2、Modify the frame rate of MER2-503-23GX(POE)</t>
  </si>
  <si>
    <t>2022.3.17</t>
  </si>
  <si>
    <t>1.0.51</t>
  </si>
  <si>
    <t>1、Modify the frame rate of MER2-160-75GX(POE)</t>
  </si>
  <si>
    <t>2022.3.20</t>
  </si>
  <si>
    <t>1.0.52</t>
  </si>
  <si>
    <t xml:space="preserve">1、Modify the frame rate of MER2-041-302GX(POE) </t>
  </si>
  <si>
    <t>2022.3.26</t>
  </si>
  <si>
    <t>1.0.53</t>
  </si>
  <si>
    <t>1、Modify the frame rate of MER2-041-302GX（POE）</t>
  </si>
  <si>
    <t>2022.3.28</t>
  </si>
  <si>
    <t>1.0.54</t>
  </si>
  <si>
    <t>1、Modify the frame rate of MER2-2000-6GX（POE）</t>
  </si>
  <si>
    <t>1.0.55</t>
  </si>
  <si>
    <t>1、Modify the frame rate of MER2-1220-9GX（POE）</t>
  </si>
  <si>
    <t>2022.4.6</t>
  </si>
  <si>
    <t>1.0.56</t>
  </si>
  <si>
    <t>1、Modify the frame rate of MER2-1070-10GX（POE）</t>
  </si>
  <si>
    <t>2022.4.8</t>
  </si>
  <si>
    <t>1.0.57</t>
  </si>
  <si>
    <t>1、Add the frame rate of MER2-134-90GX</t>
  </si>
  <si>
    <t>2022.6.1</t>
  </si>
  <si>
    <t>1.0.58</t>
  </si>
  <si>
    <t>1、Add the frame rate of MER2-051-120GX</t>
  </si>
  <si>
    <t>2022.6.7</t>
  </si>
  <si>
    <r>
      <rPr>
        <sz val="11"/>
        <color theme="1"/>
        <rFont val="宋体"/>
        <family val="3"/>
        <charset val="134"/>
        <scheme val="minor"/>
      </rPr>
      <t>1.0.5</t>
    </r>
    <r>
      <rPr>
        <sz val="11"/>
        <color theme="1"/>
        <rFont val="宋体"/>
        <family val="3"/>
        <charset val="134"/>
        <scheme val="minor"/>
      </rPr>
      <t>9</t>
    </r>
  </si>
  <si>
    <t>1、Modify the frame rate of MER2-051-120GX，Add Trigger Mode，Add Binning\Skipping in ROI Period Calculation.</t>
  </si>
  <si>
    <t>2022.6.11</t>
  </si>
  <si>
    <t>1.0.60</t>
  </si>
  <si>
    <t xml:space="preserve">1、Modify the frame rate of MER2-051-120GX，FramePeriod caculate without BandWidthLimitFramePeriod in TriggerMode. </t>
  </si>
  <si>
    <r>
      <rPr>
        <sz val="11"/>
        <color theme="1"/>
        <rFont val="宋体"/>
        <family val="3"/>
        <charset val="134"/>
        <scheme val="minor"/>
      </rPr>
      <t>1.0.6</t>
    </r>
    <r>
      <rPr>
        <sz val="11"/>
        <color theme="1"/>
        <rFont val="宋体"/>
        <family val="3"/>
        <charset val="134"/>
        <scheme val="minor"/>
      </rPr>
      <t>1</t>
    </r>
  </si>
  <si>
    <r>
      <rPr>
        <sz val="11"/>
        <color theme="1"/>
        <rFont val="宋体"/>
        <family val="3"/>
        <charset val="134"/>
        <scheme val="minor"/>
      </rPr>
      <t>1、Modify the frame rate of MER2-051-120GX，Warning in English.</t>
    </r>
    <r>
      <rPr>
        <sz val="11"/>
        <color theme="1"/>
        <rFont val="宋体"/>
        <family val="3"/>
        <charset val="134"/>
        <scheme val="minor"/>
      </rPr>
      <t xml:space="preserve"> </t>
    </r>
  </si>
  <si>
    <r>
      <rPr>
        <sz val="11"/>
        <color theme="1"/>
        <rFont val="宋体"/>
        <family val="3"/>
        <charset val="134"/>
        <scheme val="minor"/>
      </rPr>
      <t>2022.6.1</t>
    </r>
    <r>
      <rPr>
        <sz val="11"/>
        <color theme="1"/>
        <rFont val="宋体"/>
        <family val="3"/>
        <charset val="134"/>
        <scheme val="minor"/>
      </rPr>
      <t>2</t>
    </r>
  </si>
  <si>
    <t>1.0.62</t>
  </si>
  <si>
    <t xml:space="preserve">1、Add the frame rate of MER2-137-90GXGX. </t>
  </si>
  <si>
    <t>2022.11.7</t>
  </si>
  <si>
    <t>1.0.63</t>
  </si>
  <si>
    <t xml:space="preserve">1、Add the frame rate of MER2-532-22GX. </t>
  </si>
  <si>
    <t>2023.04.12</t>
  </si>
  <si>
    <t>1.0.64</t>
  </si>
  <si>
    <t xml:space="preserve">1、Add the frame rate of ME2S-1260-9GC-P. </t>
  </si>
  <si>
    <t>2023.05.16</t>
  </si>
  <si>
    <t>1.0.65</t>
  </si>
  <si>
    <t>1、Add the frame rate of ME2C-GX(-P).</t>
  </si>
  <si>
    <t>1.0.66</t>
  </si>
  <si>
    <t>2023.07.27</t>
  </si>
  <si>
    <t>参数输入：</t>
  </si>
  <si>
    <t>图像宽度最大值</t>
  </si>
  <si>
    <t>WidthMax</t>
  </si>
  <si>
    <t>图像高度最大值</t>
  </si>
  <si>
    <t>HeightMax</t>
  </si>
  <si>
    <t>图像宽度</t>
  </si>
  <si>
    <t>Width</t>
  </si>
  <si>
    <t>图像高度</t>
  </si>
  <si>
    <t>Height</t>
  </si>
  <si>
    <t>水平像素Binning</t>
  </si>
  <si>
    <t>BinningHorizontal</t>
  </si>
  <si>
    <t>垂直像素Binning</t>
  </si>
  <si>
    <t>BinningVertical</t>
  </si>
  <si>
    <t>水平像素抽样</t>
  </si>
  <si>
    <t>DecimationHorizontal</t>
  </si>
  <si>
    <t>垂直像素抽样</t>
  </si>
  <si>
    <t>DecimationVertical</t>
  </si>
  <si>
    <t>曝光时间</t>
  </si>
  <si>
    <t>ExposureTime(us)</t>
  </si>
  <si>
    <t>曝光延迟</t>
  </si>
  <si>
    <t>ExposureDelay(us)</t>
  </si>
  <si>
    <t>像素格式</t>
  </si>
  <si>
    <t>PixelFormat(8/12)</t>
  </si>
  <si>
    <t>包长</t>
  </si>
  <si>
    <t>GevSCPSPacketSize</t>
  </si>
  <si>
    <t>包间隔</t>
  </si>
  <si>
    <t>GevSCPD</t>
  </si>
  <si>
    <t>包间隔最大值</t>
  </si>
  <si>
    <t>GevSCPDMaxValue</t>
  </si>
  <si>
    <t>采集帧率值</t>
  </si>
  <si>
    <t>GevFramerateABS</t>
  </si>
  <si>
    <t>采集帧率设置使能</t>
  </si>
  <si>
    <t>GevFramerateAbsEn</t>
  </si>
  <si>
    <t>网络连接速度</t>
  </si>
  <si>
    <t>LinkSpeed(Mbps)</t>
  </si>
  <si>
    <t>预留带宽</t>
  </si>
  <si>
    <t>BandwidthReserve</t>
  </si>
  <si>
    <t>预留带宽最大值</t>
  </si>
  <si>
    <t>BandwidthReserveMaxValue</t>
  </si>
  <si>
    <t>采集帧率设置值</t>
  </si>
  <si>
    <t>ROI帧周期</t>
  </si>
  <si>
    <t>曝光寄存器</t>
  </si>
  <si>
    <t>曝光延迟寄存器</t>
  </si>
  <si>
    <t>曝光帧周期</t>
  </si>
  <si>
    <t>帧信息</t>
  </si>
  <si>
    <t>图像+Chunk大小</t>
  </si>
  <si>
    <t>包个数</t>
  </si>
  <si>
    <t>残包大小</t>
  </si>
  <si>
    <t>残包个数</t>
  </si>
  <si>
    <t>以太网传输image和chunk的大小（包含全部协议开销）</t>
  </si>
  <si>
    <t>所有的帧间隔</t>
  </si>
  <si>
    <t>传输图像尺寸</t>
  </si>
  <si>
    <t>图像传输周期</t>
  </si>
  <si>
    <t>采集帧率帧周期</t>
  </si>
  <si>
    <t>帧周期</t>
  </si>
  <si>
    <t>帧率</t>
  </si>
  <si>
    <t>传输数据最大值</t>
  </si>
  <si>
    <t>包间隔范围</t>
  </si>
  <si>
    <t>不同网速下包间隔最大值</t>
  </si>
  <si>
    <t>带宽数据最大值</t>
  </si>
  <si>
    <t>预留带宽范围</t>
  </si>
  <si>
    <t>包间隔未限制</t>
  </si>
  <si>
    <t>行周期</t>
  </si>
  <si>
    <t>hmax</t>
  </si>
  <si>
    <t>帧周期（us）</t>
  </si>
  <si>
    <t>Binning/Skipping后最大宽度</t>
  </si>
  <si>
    <t>Binning/Skipping后最大高度</t>
  </si>
  <si>
    <t>实际生效的水平系数</t>
  </si>
  <si>
    <t>实际生效的垂直系数</t>
  </si>
  <si>
    <t>Binning/Skipping前宽度(寄存器)</t>
  </si>
  <si>
    <t>Binning/Skipping前高度（寄存器）</t>
  </si>
  <si>
    <t>根据系数还原宽度</t>
  </si>
  <si>
    <t>根据系数还原高度</t>
  </si>
  <si>
    <t>Binning/Skipping后宽度</t>
  </si>
  <si>
    <t>Binning/Skipping后高度</t>
  </si>
  <si>
    <t>计算结果：</t>
  </si>
  <si>
    <t>FPS</t>
  </si>
  <si>
    <t xml:space="preserve">
error message;</t>
  </si>
  <si>
    <t>The current parameter is not within the range:[8,'WidthMax'], please enter again</t>
  </si>
  <si>
    <r>
      <rPr>
        <sz val="11"/>
        <color theme="1"/>
        <rFont val="宋体"/>
        <family val="3"/>
        <charset val="134"/>
        <scheme val="minor"/>
      </rPr>
      <t>The current parameter is not within the range:[</t>
    </r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,'HeightMax'], please enter again</t>
    </r>
  </si>
  <si>
    <t>The frame rate calculated by the parameters in the current frame rate calculation table may be abnormal, please modify the parameters according to the prompt</t>
  </si>
  <si>
    <t>Frame rate calculation is correct:</t>
  </si>
  <si>
    <t>PixelFormat(8/10)</t>
  </si>
  <si>
    <t>触发模式</t>
  </si>
  <si>
    <t>TiggerMode</t>
  </si>
  <si>
    <t>内置黑行个数</t>
  </si>
  <si>
    <t>black_lines_fix</t>
  </si>
  <si>
    <t>内置黑行行周期</t>
  </si>
  <si>
    <t>bl_row_time_fix</t>
  </si>
  <si>
    <t>channel_num</t>
  </si>
  <si>
    <t>像素时钟频率</t>
  </si>
  <si>
    <t>freq_pix_clk</t>
  </si>
  <si>
    <t>黑行个数</t>
  </si>
  <si>
    <t>black_lines</t>
  </si>
  <si>
    <t>哑行个数</t>
  </si>
  <si>
    <t>dummy_lines</t>
  </si>
  <si>
    <t>曝光前哑行个数</t>
  </si>
  <si>
    <t>dummy_lines_bf_exp</t>
  </si>
  <si>
    <t>图像行ROT像素个数</t>
  </si>
  <si>
    <t>rot_img</t>
  </si>
  <si>
    <t>黑行ROT像素个数</t>
  </si>
  <si>
    <t>rot_bl</t>
  </si>
  <si>
    <t>FOT时间</t>
  </si>
  <si>
    <t>fot</t>
  </si>
  <si>
    <t>曝光前的FOT时间</t>
  </si>
  <si>
    <t>fot_int</t>
  </si>
  <si>
    <t>图像行计算公式尾数</t>
  </si>
  <si>
    <t>img_rem</t>
  </si>
  <si>
    <t>黑行计算公式尾数</t>
  </si>
  <si>
    <t>bl_rem</t>
  </si>
  <si>
    <t>rot_img_rem</t>
  </si>
  <si>
    <t>rot_bl_rem</t>
  </si>
  <si>
    <t>行消隐的一部分</t>
  </si>
  <si>
    <t>xsm_delay_time</t>
  </si>
  <si>
    <t>Sensor内部一组数据位宽</t>
  </si>
  <si>
    <t>kernel</t>
  </si>
  <si>
    <t>前端带宽最大值</t>
  </si>
  <si>
    <t>bandwidth_max</t>
  </si>
  <si>
    <t>读出曝光的裕量</t>
  </si>
  <si>
    <t>readout_exp_margin</t>
  </si>
  <si>
    <t>宽度最大值</t>
  </si>
  <si>
    <t>黑行周期NROT</t>
  </si>
  <si>
    <t>black_row_time</t>
  </si>
  <si>
    <t>图像行周期NROT</t>
  </si>
  <si>
    <t>img_row_time</t>
  </si>
  <si>
    <t>black_line时间</t>
  </si>
  <si>
    <t>black_line_time</t>
  </si>
  <si>
    <t>图像行时间</t>
  </si>
  <si>
    <t>image_line_time</t>
  </si>
  <si>
    <t>dummy_line时间</t>
  </si>
  <si>
    <t>dummy_line_time</t>
  </si>
  <si>
    <t>曝光之前的dummy_line时间</t>
  </si>
  <si>
    <t>dummy_line_bf_time</t>
  </si>
  <si>
    <t>最小帧间隔</t>
  </si>
  <si>
    <t>ifg_min</t>
  </si>
  <si>
    <t>leader长度</t>
  </si>
  <si>
    <t>leader size</t>
  </si>
  <si>
    <t>trailer长度</t>
  </si>
  <si>
    <t>trailer size</t>
  </si>
  <si>
    <t>传输图像大小</t>
  </si>
  <si>
    <t>image_size</t>
  </si>
  <si>
    <t>图像+chunk大小</t>
  </si>
  <si>
    <t>image_chunk_size</t>
  </si>
  <si>
    <t>以太网负载部分的协议开销</t>
  </si>
  <si>
    <t>header_in_payload</t>
  </si>
  <si>
    <t>以太网协议开销</t>
  </si>
  <si>
    <t>eth_protocol_byte</t>
  </si>
  <si>
    <t>数据包长最小值</t>
  </si>
  <si>
    <t>data_size_min</t>
  </si>
  <si>
    <t>完整包个数</t>
  </si>
  <si>
    <t>complete_packet_num</t>
  </si>
  <si>
    <t>incomplete_packet_num</t>
  </si>
  <si>
    <t>incomplete_packet_size</t>
  </si>
  <si>
    <t>经过最小包长判断之后的残包大小</t>
  </si>
  <si>
    <t>incomplete_packet_size_min</t>
  </si>
  <si>
    <t>以太网传输leader包的大小</t>
  </si>
  <si>
    <t>leader_packet_size</t>
  </si>
  <si>
    <t>以太网传输trailer包的大小</t>
  </si>
  <si>
    <t>trailer_packet_size</t>
  </si>
  <si>
    <t>以太网传输image和chunk的大小</t>
  </si>
  <si>
    <t>frame_packet_size</t>
  </si>
  <si>
    <t>all_packet_gap</t>
  </si>
  <si>
    <t>frame_size</t>
  </si>
  <si>
    <t>以太网有效传输带宽</t>
  </si>
  <si>
    <t>eth_valid_bandwidth</t>
  </si>
  <si>
    <t>后端传输限制的帧周期</t>
  </si>
  <si>
    <t>backend_limit_period_time</t>
  </si>
  <si>
    <t>前端最大带宽限制的帧周期</t>
  </si>
  <si>
    <t>frontend_limit_period_time</t>
  </si>
  <si>
    <t>预估带宽</t>
  </si>
  <si>
    <t>The current parameter is not within the range:[2,'HeightMax'], please enter again</t>
  </si>
  <si>
    <t>error message;</t>
  </si>
  <si>
    <t>Input range from 64 to 1024, and is an integer multiple of 16</t>
  </si>
  <si>
    <t>Input range from 64 to 1024, and is an integer multiple of 2</t>
  </si>
  <si>
    <t xml:space="preserve">
The frame rate calculated by the parameters in the current frame rate calculation table may be abnormal, please modify the parameters according to the prompt</t>
  </si>
  <si>
    <t>ChunkModeActive</t>
  </si>
  <si>
    <t>Finck</t>
  </si>
  <si>
    <t>clk_dig</t>
  </si>
  <si>
    <t>margin_x</t>
  </si>
  <si>
    <t>margin_y</t>
  </si>
  <si>
    <t>hmax（50MHz）</t>
  </si>
  <si>
    <t>fot_line</t>
  </si>
  <si>
    <t>invalid_line</t>
  </si>
  <si>
    <t>extra_add_line</t>
  </si>
  <si>
    <t>config_time</t>
  </si>
  <si>
    <t>phy_num</t>
  </si>
  <si>
    <t>phy_ch_num</t>
  </si>
  <si>
    <t>sensor_width_max</t>
  </si>
  <si>
    <t>clk_pix</t>
  </si>
  <si>
    <t>preamble</t>
  </si>
  <si>
    <t>sfd</t>
  </si>
  <si>
    <t>eth_header</t>
  </si>
  <si>
    <t>ip_header</t>
  </si>
  <si>
    <t>udp_header</t>
  </si>
  <si>
    <t>gigev_header</t>
  </si>
  <si>
    <t>fcs</t>
  </si>
  <si>
    <t>leader_size</t>
  </si>
  <si>
    <t>trailer_size</t>
  </si>
  <si>
    <t>chunk_size</t>
  </si>
  <si>
    <t>tRow</t>
  </si>
  <si>
    <t>xtrig_length</t>
  </si>
  <si>
    <t>exp_delay_time</t>
  </si>
  <si>
    <t>readout_time</t>
  </si>
  <si>
    <t>Image effective bandwidth</t>
  </si>
  <si>
    <t>Transport total value</t>
  </si>
  <si>
    <t>Transport theoretical value</t>
  </si>
  <si>
    <t>Max gevSCPD</t>
  </si>
  <si>
    <t>Max BandwidthReserve</t>
  </si>
  <si>
    <t>OverLapMode</t>
  </si>
  <si>
    <t>tFrame</t>
  </si>
  <si>
    <t>F</t>
  </si>
  <si>
    <t>Input range from 4 to 1280, and is an integer multiple of 4</t>
  </si>
  <si>
    <r>
      <rPr>
        <sz val="11"/>
        <color theme="1"/>
        <rFont val="宋体"/>
        <family val="3"/>
        <charset val="134"/>
        <scheme val="minor"/>
      </rPr>
      <t>The current parameter is not within the range:[</t>
    </r>
    <r>
      <rPr>
        <sz val="11"/>
        <color theme="1"/>
        <rFont val="宋体"/>
        <family val="3"/>
        <charset val="134"/>
        <scheme val="minor"/>
      </rPr>
      <t>8</t>
    </r>
    <r>
      <rPr>
        <sz val="11"/>
        <color theme="1"/>
        <rFont val="宋体"/>
        <family val="3"/>
        <charset val="134"/>
        <scheme val="minor"/>
      </rPr>
      <t>,'WidthMax'], please enter again</t>
    </r>
  </si>
  <si>
    <t>前端最大带宽值</t>
  </si>
  <si>
    <t>后端传输帧周期</t>
  </si>
  <si>
    <t>前端传输帧周期</t>
  </si>
  <si>
    <t>触发帧周期</t>
  </si>
  <si>
    <t>计算帧率</t>
  </si>
  <si>
    <t>帧周期（时间）</t>
  </si>
  <si>
    <t>图像传输带宽</t>
  </si>
  <si>
    <t>带宽限制帧周期</t>
  </si>
  <si>
    <t>Error information：</t>
  </si>
  <si>
    <t>Current parameter is not in the range [8, 'WidthMax'], please input again.</t>
  </si>
  <si>
    <t>Current parameter is not in the range [2, 'HeightMax'], please input again.</t>
  </si>
  <si>
    <t xml:space="preserve">The frame rate calculated by current parameter may be incorrect, please modify paramerters according to prompt. </t>
  </si>
  <si>
    <t>FrameRateCorrect：</t>
  </si>
  <si>
    <r>
      <rPr>
        <b/>
        <sz val="11"/>
        <color rgb="FFFFFF00"/>
        <rFont val="宋体"/>
        <family val="3"/>
        <charset val="134"/>
        <scheme val="minor"/>
      </rPr>
      <t>PixelFormat(8/1</t>
    </r>
    <r>
      <rPr>
        <b/>
        <sz val="11"/>
        <color rgb="FFFFFF00"/>
        <rFont val="宋体"/>
        <family val="3"/>
        <charset val="134"/>
        <scheme val="minor"/>
      </rPr>
      <t>2</t>
    </r>
    <r>
      <rPr>
        <b/>
        <sz val="11"/>
        <color rgb="FFFFFF00"/>
        <rFont val="宋体"/>
        <family val="3"/>
        <charset val="134"/>
        <scheme val="minor"/>
      </rPr>
      <t>)</t>
    </r>
  </si>
  <si>
    <t>帧周期（时间us）</t>
  </si>
  <si>
    <t>FrameRate</t>
  </si>
  <si>
    <r>
      <rPr>
        <sz val="11"/>
        <color theme="1"/>
        <rFont val="宋体"/>
        <family val="3"/>
        <charset val="134"/>
        <scheme val="minor"/>
      </rPr>
      <t>Current parameter is not in the range [</t>
    </r>
    <r>
      <rPr>
        <sz val="11"/>
        <color theme="1"/>
        <rFont val="宋体"/>
        <family val="3"/>
        <charset val="134"/>
        <scheme val="minor"/>
      </rPr>
      <t>8</t>
    </r>
    <r>
      <rPr>
        <sz val="11"/>
        <color theme="1"/>
        <rFont val="宋体"/>
        <family val="3"/>
        <charset val="134"/>
        <scheme val="minor"/>
      </rPr>
      <t>, 'WidthMax'], please input again.</t>
    </r>
  </si>
  <si>
    <r>
      <rPr>
        <sz val="11"/>
        <color theme="1"/>
        <rFont val="宋体"/>
        <family val="3"/>
        <charset val="134"/>
        <scheme val="minor"/>
      </rPr>
      <t>Current parameter is not in the range [</t>
    </r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, 'HeightMax'], please input again.</t>
    </r>
  </si>
  <si>
    <t>TriggerMode</t>
  </si>
  <si>
    <t>Current parameter is not in the range [4, 'WidthMax'], please input again.</t>
  </si>
  <si>
    <t>camera_model</t>
  </si>
  <si>
    <t>相机型号</t>
  </si>
  <si>
    <t>MER2-507-23GX</t>
  </si>
  <si>
    <t>Sensor寄存器</t>
  </si>
  <si>
    <t>demo关联项</t>
  </si>
  <si>
    <t>计算结果</t>
  </si>
  <si>
    <t>以太网参数-gige</t>
  </si>
  <si>
    <t>寄存器名</t>
  </si>
  <si>
    <t>描述</t>
  </si>
  <si>
    <t>地址
dec(hex)</t>
  </si>
  <si>
    <t>初始值
dec</t>
  </si>
  <si>
    <t>初始值
dec(hex)</t>
  </si>
  <si>
    <t>用户值
dec</t>
  </si>
  <si>
    <t>用户值
hex</t>
  </si>
  <si>
    <t>参数</t>
  </si>
  <si>
    <t>默认值</t>
  </si>
  <si>
    <t>用户值</t>
  </si>
  <si>
    <t>公式</t>
  </si>
  <si>
    <t>计算值</t>
  </si>
  <si>
    <t>单位</t>
  </si>
  <si>
    <t>推算值dec</t>
  </si>
  <si>
    <t>相关寄存器</t>
  </si>
  <si>
    <t>前导符</t>
  </si>
  <si>
    <t>固定为7byte</t>
  </si>
  <si>
    <t>byte</t>
  </si>
  <si>
    <t>y_addr_start</t>
  </si>
  <si>
    <t>sensor垂直起始位置</t>
  </si>
  <si>
    <t>0x3002</t>
  </si>
  <si>
    <t>PixelFormat</t>
  </si>
  <si>
    <t>像素格式(8/10/12)</t>
  </si>
  <si>
    <t>ROUNDUP(line_length_pck*1000/(pix_clk*hispi_lane),0)</t>
  </si>
  <si>
    <t>ns</t>
  </si>
  <si>
    <t>起始帧分界符</t>
  </si>
  <si>
    <t>固定为1byte</t>
  </si>
  <si>
    <t>x_addr_start</t>
  </si>
  <si>
    <t>sensor水平起始位置</t>
  </si>
  <si>
    <t>0x3004</t>
  </si>
  <si>
    <t>tFrame_line</t>
  </si>
  <si>
    <t>if(trigger_mode=0,max(readout_period_time,exp_period_time,fps_limit_period_time,tp_limit_period_time),frame_length_lines)</t>
  </si>
  <si>
    <t>line</t>
  </si>
  <si>
    <t>以太网协议头</t>
  </si>
  <si>
    <t>目的地址6byte+源地址6byte+以太网类型2byte</t>
  </si>
  <si>
    <t>y_addr_end</t>
  </si>
  <si>
    <t>sensor垂直结束位置</t>
  </si>
  <si>
    <t>0x3006</t>
  </si>
  <si>
    <t>ExposureTime</t>
  </si>
  <si>
    <t>曝光时间(us)</t>
  </si>
  <si>
    <t>tFrame_line*tRow/1000</t>
  </si>
  <si>
    <t>us</t>
  </si>
  <si>
    <t>ip协议头</t>
  </si>
  <si>
    <t>固定为20byte</t>
  </si>
  <si>
    <t>x_addr_end</t>
  </si>
  <si>
    <t>sensor水平结束位置</t>
  </si>
  <si>
    <t>0x3008</t>
  </si>
  <si>
    <t>ExposureDelay</t>
  </si>
  <si>
    <t>曝光延迟(us)</t>
  </si>
  <si>
    <t>fFrame</t>
  </si>
  <si>
    <t>1000000/tFrame</t>
  </si>
  <si>
    <t>fps</t>
  </si>
  <si>
    <t>udp协议头</t>
  </si>
  <si>
    <t>固定为8byte</t>
  </si>
  <si>
    <t>x_output_size</t>
  </si>
  <si>
    <t>sensor水平输出大小</t>
  </si>
  <si>
    <t>0x34C</t>
  </si>
  <si>
    <t>gige vision协议头</t>
  </si>
  <si>
    <t>y_output_size</t>
  </si>
  <si>
    <t>sensor垂直输出大小</t>
  </si>
  <si>
    <t>0x34E</t>
  </si>
  <si>
    <t>CRC校验</t>
  </si>
  <si>
    <t>固定为4byte</t>
  </si>
  <si>
    <t>frame_length_lines</t>
  </si>
  <si>
    <t>sensor帧周期</t>
  </si>
  <si>
    <t>0x300A</t>
  </si>
  <si>
    <t>触发延迟</t>
  </si>
  <si>
    <t>固定为12byte</t>
  </si>
  <si>
    <t>line_length_pck</t>
  </si>
  <si>
    <t>sensor行周期</t>
  </si>
  <si>
    <t>0x300C</t>
  </si>
  <si>
    <t>TriggerDelay</t>
  </si>
  <si>
    <t>触发延迟(us)</t>
  </si>
  <si>
    <t>决定帧周期的四个变量</t>
  </si>
  <si>
    <t>协议开销总和I:以太网负载部分的协议开销</t>
  </si>
  <si>
    <t>ip_header+udp_header+gigev_header</t>
  </si>
  <si>
    <t>coarse_integration_time</t>
  </si>
  <si>
    <t>粗略曝光行数</t>
  </si>
  <si>
    <t>0x3012</t>
  </si>
  <si>
    <t>readout_period_time</t>
  </si>
  <si>
    <t>读出时间决定的帧周期</t>
  </si>
  <si>
    <t>height+VBmin</t>
  </si>
  <si>
    <t>协议开销总和II:以太网协议开销</t>
  </si>
  <si>
    <t>preamble+sfd+eth_header+fcs</t>
  </si>
  <si>
    <t>ROI设置</t>
  </si>
  <si>
    <t>exp_period_time</t>
  </si>
  <si>
    <t>曝光时间决定的帧周期</t>
  </si>
  <si>
    <t>ExposureTime+tExp</t>
  </si>
  <si>
    <t>64-eth_header-fcs-header_in_payload</t>
  </si>
  <si>
    <t>demo_offset_x</t>
  </si>
  <si>
    <t>demo设置offset_x</t>
  </si>
  <si>
    <t>trig_period_time</t>
  </si>
  <si>
    <t>max(fps_limit_period_time,readout_period_time+exp_period_time+ROUNDUP(1000*tRestart/tRow))</t>
  </si>
  <si>
    <t>帧周期参数-gige</t>
  </si>
  <si>
    <t>FPGA寄存器</t>
  </si>
  <si>
    <t>demo_offset_y</t>
  </si>
  <si>
    <t>demo设置offset_y</t>
  </si>
  <si>
    <t>fps_limit_period_time</t>
  </si>
  <si>
    <t>帧率限制帧周期</t>
  </si>
  <si>
    <t>roundup((1000000000/AcquisitionFrameRate)/tRow)*AcquisitionFrameRateMode</t>
  </si>
  <si>
    <t>偏移地址
dec(hex)</t>
  </si>
  <si>
    <t>demo_width</t>
  </si>
  <si>
    <t>demo设置width</t>
  </si>
  <si>
    <t>tp_limit_period_time</t>
  </si>
  <si>
    <t>1000/frame_time_gige</t>
  </si>
  <si>
    <r>
      <rPr>
        <sz val="11"/>
        <color theme="1"/>
        <rFont val="宋体"/>
        <family val="3"/>
        <charset val="134"/>
        <scheme val="minor"/>
      </rPr>
      <t>leader长度</t>
    </r>
    <r>
      <rPr>
        <sz val="11"/>
        <color rgb="FFFF0000"/>
        <rFont val="宋体"/>
        <family val="3"/>
        <charset val="134"/>
        <scheme val="minor"/>
      </rPr>
      <t>（净长）</t>
    </r>
  </si>
  <si>
    <t>chunk off:36
chunk on:12</t>
  </si>
  <si>
    <t>demo_height</t>
  </si>
  <si>
    <t>demo设置height</t>
  </si>
  <si>
    <t>其他</t>
  </si>
  <si>
    <r>
      <rPr>
        <sz val="11"/>
        <color theme="1"/>
        <rFont val="宋体"/>
        <family val="3"/>
        <charset val="134"/>
        <scheme val="minor"/>
      </rPr>
      <t>trailer长度</t>
    </r>
    <r>
      <rPr>
        <sz val="11"/>
        <color rgb="FFFF0000"/>
        <rFont val="宋体"/>
        <family val="3"/>
        <charset val="134"/>
        <scheme val="minor"/>
      </rPr>
      <t>（净长）</t>
    </r>
  </si>
  <si>
    <t>实际上trailer大小是8byte，为了和64byte的以太网包对齐，此处写为10byte</t>
  </si>
  <si>
    <t>ext_trigger_min_period</t>
  </si>
  <si>
    <t>触发屏蔽帧周期</t>
  </si>
  <si>
    <t>0x240</t>
  </si>
  <si>
    <t>帧率控制</t>
  </si>
  <si>
    <t>trig_to_strobe</t>
  </si>
  <si>
    <t>从触发到闪光灯的时间</t>
  </si>
  <si>
    <t>if(strobe_time=0,0,t_restart+(sensor_height*tRow/1000)</t>
  </si>
  <si>
    <r>
      <rPr>
        <sz val="11"/>
        <color theme="1"/>
        <rFont val="宋体"/>
        <family val="3"/>
        <charset val="134"/>
        <scheme val="minor"/>
      </rPr>
      <t>传输图像大小</t>
    </r>
    <r>
      <rPr>
        <sz val="11"/>
        <color rgb="FFFF0000"/>
        <rFont val="宋体"/>
        <family val="3"/>
        <charset val="134"/>
        <scheme val="minor"/>
      </rPr>
      <t>（净长）</t>
    </r>
  </si>
  <si>
    <t>H*W*n，if pixel format = 8bit，n=1，else n=2</t>
  </si>
  <si>
    <t>AcquisitionFrameRateMode</t>
  </si>
  <si>
    <t>帧率控制开关</t>
  </si>
  <si>
    <t>strobe_time</t>
  </si>
  <si>
    <t>闪光灯维持时间</t>
  </si>
  <si>
    <t>max(0,(exp_period_time-tExp-sensor_height))*(tRow/1000)</t>
  </si>
  <si>
    <r>
      <rPr>
        <sz val="11"/>
        <color theme="1"/>
        <rFont val="宋体"/>
        <family val="3"/>
        <charset val="134"/>
        <scheme val="minor"/>
      </rPr>
      <t>图像+chunk大小</t>
    </r>
    <r>
      <rPr>
        <sz val="11"/>
        <color rgb="FFFF0000"/>
        <rFont val="宋体"/>
        <family val="3"/>
        <charset val="134"/>
        <scheme val="minor"/>
      </rPr>
      <t>（净长）</t>
    </r>
  </si>
  <si>
    <r>
      <rPr>
        <sz val="11"/>
        <color rgb="FFFF0000"/>
        <rFont val="宋体"/>
        <family val="3"/>
        <charset val="134"/>
        <scheme val="minor"/>
      </rPr>
      <t>image_size</t>
    </r>
    <r>
      <rPr>
        <sz val="11"/>
        <color theme="1"/>
        <rFont val="宋体"/>
        <family val="3"/>
        <charset val="134"/>
        <scheme val="minor"/>
      </rPr>
      <t>+32*chunk_mode_active</t>
    </r>
  </si>
  <si>
    <t>AcquisitionFrameRate</t>
  </si>
  <si>
    <r>
      <rPr>
        <sz val="11"/>
        <color theme="1"/>
        <rFont val="宋体"/>
        <family val="3"/>
        <charset val="134"/>
        <scheme val="minor"/>
      </rPr>
      <t>帧率控制设置的帧率</t>
    </r>
    <r>
      <rPr>
        <sz val="11"/>
        <color rgb="FFFF0000"/>
        <rFont val="宋体"/>
        <family val="3"/>
        <charset val="134"/>
        <scheme val="minor"/>
      </rPr>
      <t>(最小帧率为0.75fps)</t>
    </r>
  </si>
  <si>
    <t>tTrigFrame</t>
  </si>
  <si>
    <t>从触发信号到得图</t>
  </si>
  <si>
    <t>(readout_period_time+exp_period_time+ROUNDUP(1000*tRestart/tRow))*(tRow/1000)</t>
  </si>
  <si>
    <t>int(image_chunk_size/(GevSCPSPacketSize-header_in_payload))</t>
  </si>
  <si>
    <t>chunk</t>
  </si>
  <si>
    <t>GIGE estimate bandwidth</t>
  </si>
  <si>
    <t>GIGE预估带宽</t>
  </si>
  <si>
    <t>frame_freq*image_size/1000000</t>
  </si>
  <si>
    <t>MByte/s</t>
  </si>
  <si>
    <r>
      <rPr>
        <sz val="11"/>
        <color theme="1"/>
        <rFont val="宋体"/>
        <family val="3"/>
        <charset val="134"/>
        <scheme val="minor"/>
      </rPr>
      <t>残包大小</t>
    </r>
    <r>
      <rPr>
        <sz val="11"/>
        <color rgb="FFFF0000"/>
        <rFont val="宋体"/>
        <family val="3"/>
        <charset val="134"/>
        <scheme val="minor"/>
      </rPr>
      <t>（净长）</t>
    </r>
  </si>
  <si>
    <t>image_chunk_size-(GevSCPSPacketSize-header_in_payload)*complete_packet_num</t>
  </si>
  <si>
    <t>ChunkEnableFrameID</t>
  </si>
  <si>
    <t>待定</t>
  </si>
  <si>
    <t>if(incomplete_packet_size==0,0,1)</t>
  </si>
  <si>
    <t>ChunkEnableTimestamp</t>
  </si>
  <si>
    <t>时间戳</t>
  </si>
  <si>
    <r>
      <rPr>
        <sz val="11"/>
        <color theme="1"/>
        <rFont val="宋体"/>
        <family val="3"/>
        <charset val="134"/>
        <scheme val="minor"/>
      </rPr>
      <t>经过最小包长判断之后的残包大小</t>
    </r>
    <r>
      <rPr>
        <sz val="11"/>
        <color rgb="FFFF0000"/>
        <rFont val="宋体"/>
        <family val="3"/>
        <charset val="134"/>
        <scheme val="minor"/>
      </rPr>
      <t>（净长）</t>
    </r>
  </si>
  <si>
    <t>残包大小最少要是64byte
if(incomplete_packet_size&lt;data_size_min,data_size_min,incomplete_packet_size)</t>
  </si>
  <si>
    <r>
      <rPr>
        <sz val="11"/>
        <color theme="1"/>
        <rFont val="宋体"/>
        <family val="3"/>
        <charset val="134"/>
        <scheme val="minor"/>
      </rPr>
      <t>以太网传输leader包的大小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</si>
  <si>
    <t>eth_protocol_byte+header_in_payload+leader_size</t>
  </si>
  <si>
    <t>带宽控制-gige</t>
  </si>
  <si>
    <t>TimestampDiffer</t>
  </si>
  <si>
    <t>相邻两帧之间的时间戳差值</t>
  </si>
  <si>
    <t>1000000*frame_lines*hmax/Finck</t>
  </si>
  <si>
    <r>
      <rPr>
        <sz val="11"/>
        <color theme="1"/>
        <rFont val="宋体"/>
        <family val="3"/>
        <charset val="134"/>
        <scheme val="minor"/>
      </rPr>
      <t>以太网传输trailer包的大小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</si>
  <si>
    <t>link_speed(Mbps)</t>
  </si>
  <si>
    <t>网络连接速度(Mbit/s)</t>
  </si>
  <si>
    <t>-</t>
  </si>
  <si>
    <t xml:space="preserve">TimestampDifferRange </t>
  </si>
  <si>
    <t>时间戳的波动范围</t>
  </si>
  <si>
    <r>
      <rPr>
        <sz val="11"/>
        <color theme="1"/>
        <rFont val="宋体"/>
        <family val="3"/>
        <charset val="134"/>
        <scheme val="minor"/>
      </rPr>
      <t>以太网传输image和chunk的大小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</si>
  <si>
    <t>complete_packet_num*(packet_size+eth_protocol_byte)+incomplete_packet_num*(incomplete_packet_size_min+eth_protocol_byte+header_in_payload)</t>
  </si>
  <si>
    <r>
      <rPr>
        <sz val="11"/>
        <color theme="1"/>
        <rFont val="宋体"/>
        <family val="3"/>
        <charset val="134"/>
        <scheme val="minor"/>
      </rPr>
      <t xml:space="preserve">包长
(指的是以太网的负载包长 范围:512-16384)
</t>
    </r>
    <r>
      <rPr>
        <sz val="11"/>
        <color rgb="FFFF0000"/>
        <rFont val="宋体"/>
        <family val="3"/>
        <charset val="134"/>
        <scheme val="minor"/>
      </rPr>
      <t>该数值包含协议开销综合I，不包II</t>
    </r>
  </si>
  <si>
    <t>最大包间隔</t>
  </si>
  <si>
    <r>
      <rPr>
        <sz val="11"/>
        <color theme="1"/>
        <rFont val="宋体"/>
        <family val="3"/>
        <charset val="134"/>
        <scheme val="minor"/>
      </rPr>
      <t xml:space="preserve">所有的帧间隔
</t>
    </r>
    <r>
      <rPr>
        <sz val="11"/>
        <color rgb="FFFF0000"/>
        <rFont val="宋体"/>
        <family val="3"/>
        <charset val="134"/>
        <scheme val="minor"/>
      </rPr>
      <t>（前导码和CRC校验已经在计算开销II时加过一次，这里只对最小帧间隔进行计算）</t>
    </r>
  </si>
  <si>
    <t>(leader+trailer+残包个数+完整包个数)*max(GevSCPD,ifg_min)</t>
  </si>
  <si>
    <t>包间隔(不包括12B最小值的部分 范围:0-180000)</t>
  </si>
  <si>
    <t>Max GevSCPD</t>
  </si>
  <si>
    <t>ROUNDDOWN((ROUNDDOWN(65535*tRow/10*eth_valid_bandwidth,0)-leader_packet_size-trailer_packet_size-frame_packet_size)/(leader+trailer+残包个数+完整包个数),0)-ifg_min</t>
  </si>
  <si>
    <r>
      <rPr>
        <sz val="11"/>
        <color theme="1"/>
        <rFont val="宋体"/>
        <family val="3"/>
        <charset val="134"/>
        <scheme val="minor"/>
      </rPr>
      <t>传输图像尺寸</t>
    </r>
    <r>
      <rPr>
        <sz val="11"/>
        <color rgb="FFFF0000"/>
        <rFont val="宋体"/>
        <family val="3"/>
        <charset val="134"/>
        <scheme val="minor"/>
      </rPr>
      <t>（包含全部协议开销与包间隔）</t>
    </r>
  </si>
  <si>
    <t>leader_packet_size+trailer_packet_size+frame_packet_size+all_packet_gap</t>
  </si>
  <si>
    <t>预留带宽(范围:0-99)</t>
  </si>
  <si>
    <t>最大预留带宽</t>
  </si>
  <si>
    <t>int(if(TriggerMode=0,link_speed*(100-BandwidthReserve)*10/100/8,link_speed*100*10/100/8))</t>
  </si>
  <si>
    <t>Mbyte/10s</t>
  </si>
  <si>
    <t>MaxBandwidthReserve</t>
  </si>
  <si>
    <t>IF((ROUNDDOWN(100-(frame_size/65535*tRow)*80/line_speed,0)&lt;0,0,MIN((ROUNDDOWN(100-(frame_size/65535*tRow)*80/line_speed,0),99)</t>
  </si>
  <si>
    <t>%</t>
  </si>
  <si>
    <t>tp_limit_period_time_gige</t>
  </si>
  <si>
    <t>roundup(frame_size/eth_valid_bandwidth*10/tRow,0)</t>
  </si>
  <si>
    <r>
      <rPr>
        <sz val="11"/>
        <color theme="1"/>
        <rFont val="宋体"/>
        <family val="3"/>
        <charset val="134"/>
        <scheme val="minor"/>
      </rPr>
      <t>M</t>
    </r>
    <r>
      <rPr>
        <sz val="11"/>
        <color theme="1"/>
        <rFont val="宋体"/>
        <family val="3"/>
        <charset val="134"/>
        <scheme val="minor"/>
      </rPr>
      <t>inFrameRate</t>
    </r>
  </si>
  <si>
    <t>最小帧率</t>
  </si>
  <si>
    <t>65535*tRow</t>
  </si>
  <si>
    <t>固定参数</t>
  </si>
  <si>
    <t>Sensor输入时钟频率
(各sensor不同，但大多有多种时钟可选)</t>
  </si>
  <si>
    <t>KHz</t>
  </si>
  <si>
    <t>通道数</t>
  </si>
  <si>
    <t>pix_clk</t>
  </si>
  <si>
    <t>像素时钟，fpga内部使用</t>
  </si>
  <si>
    <t>MHz</t>
  </si>
  <si>
    <t>最大包长计算过程</t>
  </si>
  <si>
    <t>(ETHERNET_FRAME_TRANS_LENS + ui32SCPSPacketSize) * g_stStreamTransParam.ui32PacketCount
         + (ETHERNET_FRAME_TRANS_LENS + g_stStreamTransParam.ui32RemainPacketLength)
         + (LEADER_TRAILER_LENS - g_stFpgaRegParam.stChunkModeActive.ui32RegValue * CHUNK_LEADER_DIFF_LENS)</t>
  </si>
  <si>
    <t>VBmin</t>
  </si>
  <si>
    <t>最小帧消隐行数</t>
  </si>
  <si>
    <t>TBD</t>
  </si>
  <si>
    <t>row</t>
  </si>
  <si>
    <t>ETHERNET_FRAME_TRANS_LENS</t>
  </si>
  <si>
    <t>tRestart</t>
  </si>
  <si>
    <t>从触发到restart寄存器配置生效时间</t>
  </si>
  <si>
    <t>tTrig2Conf+（1000/Fi2c）*（8bit+1bit）*5*reg_config_num+tRestart2Exp</t>
  </si>
  <si>
    <t>最大预留带宽计算过程</t>
  </si>
  <si>
    <t>((ETHERNET_FRAME_TRANS_LENS + ui32SCPSPacketSize) * g_stStreamTransParam.ui32PacketCount
      + (ETHERNET_FRAME_TRANS_LENS + g_stStreamTransParam.ui32RemainPacketLength)
      + (LEADER_TRAILER_LENS - g_stFpgaRegParam.stChunkModeActive.ui32RegValue * CHUNK_LEADER_DIFF_LENS))
      + (g_stFpgaRegParam.stSCPD.ui32RegValue + IFG) * (g_stStreamTransParam.ui32ImgPacketCount);</t>
  </si>
  <si>
    <t>tExp</t>
  </si>
  <si>
    <t>和曝光时间相关参数</t>
  </si>
  <si>
    <t>tTrig2Conf</t>
  </si>
  <si>
    <t>从触发信号到开始配置sensor</t>
  </si>
  <si>
    <t>Fi2c</t>
  </si>
  <si>
    <t>I2C通信频率</t>
  </si>
  <si>
    <t>kHz</t>
  </si>
  <si>
    <t>reg_config_num</t>
  </si>
  <si>
    <t>每次触发需要配置的寄存器个数</t>
  </si>
  <si>
    <t>tRestart2Exp</t>
  </si>
  <si>
    <t>restart寄存器配置生效到第一行曝光时间</t>
  </si>
  <si>
    <t>Input range from 4 to WidthMax, and is an integer multiple of 4</t>
  </si>
  <si>
    <t>Input range from 4 to HeightMax, and is an integer multiple of 4</t>
  </si>
  <si>
    <t>fpga_platform</t>
  </si>
  <si>
    <t>FPGA平台</t>
  </si>
  <si>
    <t>A7-50T</t>
  </si>
  <si>
    <t>mer2-532-22gx</t>
  </si>
  <si>
    <t>计算过程</t>
  </si>
  <si>
    <t>映射关系表（绝大多数应用于本表格的公式计算，还有一些关联fpga工程中的宏定义）</t>
  </si>
  <si>
    <t>参数输入</t>
  </si>
  <si>
    <t>sensor固定参数</t>
  </si>
  <si>
    <t>1.camera_model</t>
  </si>
  <si>
    <t>2.sensor</t>
  </si>
  <si>
    <t>3.port</t>
  </si>
  <si>
    <t xml:space="preserve">4.Master Clock </t>
  </si>
  <si>
    <t>5.phy num</t>
  </si>
  <si>
    <t>6.phy ch num</t>
  </si>
  <si>
    <t>7.no_ineterpolation_x</t>
  </si>
  <si>
    <t>8.ineterpolation_x</t>
  </si>
  <si>
    <t>9.black reference_y_frameinfo</t>
  </si>
  <si>
    <t>10.ineterpolation_y</t>
  </si>
  <si>
    <t>11.sensor_width_min</t>
  </si>
  <si>
    <t>12.sensor_height_min</t>
  </si>
  <si>
    <t>13.sensor_width_max</t>
  </si>
  <si>
    <t>14.sensor_height_max</t>
  </si>
  <si>
    <t>15.hmax</t>
  </si>
  <si>
    <t>16.VBmin</t>
  </si>
  <si>
    <t>17.ExpIntMin</t>
  </si>
  <si>
    <t>18.SFOT Line pause</t>
  </si>
  <si>
    <t>19.EFOT</t>
  </si>
  <si>
    <t>20.Default ExposureTime</t>
  </si>
  <si>
    <t>21.Default FrameRate</t>
  </si>
  <si>
    <t>22.PixelFormat</t>
  </si>
  <si>
    <t>23.isp_ch_num</t>
  </si>
  <si>
    <t>24.Pix Clock</t>
  </si>
  <si>
    <t>25.exp_start_dly(us)</t>
  </si>
  <si>
    <t>26.exp_end_dly(us)</t>
  </si>
  <si>
    <t>27.monitor_exp(us)</t>
  </si>
  <si>
    <t>parameter</t>
  </si>
  <si>
    <t>推算值
dec</t>
  </si>
  <si>
    <t>me2s-1232-9gx</t>
  </si>
  <si>
    <t>XGS12000</t>
  </si>
  <si>
    <t>GIGE</t>
  </si>
  <si>
    <t>像素格式(8/12)</t>
  </si>
  <si>
    <t>ROUNDUP(1000000*hmax/Finck),0)</t>
  </si>
  <si>
    <t>extclk</t>
  </si>
  <si>
    <t>Sensor输入时钟频率(标明手册位置)</t>
  </si>
  <si>
    <t>直接对应sensor映射表中的值</t>
  </si>
  <si>
    <t>XGS5000</t>
  </si>
  <si>
    <t xml:space="preserve">IF(TriggerMode=1,IF(ExposureMode="TriggerWidth",ROUNDUP(MAX(readout_period_time,exp_period_triggerwidth,fps_limit_period_time),0),ROUNDUP(MAX(readout_period_time,exp_period_time,fps_limit_period_time),0)),ROUNDUP(MAX(readout_period_time,exp_period_time,fps_limit_period_time,tp_limit_period_time),0)))
</t>
  </si>
  <si>
    <t>Fclk</t>
  </si>
  <si>
    <t>Sensor内部像素时钟频率</t>
  </si>
  <si>
    <t>初始化列表</t>
  </si>
  <si>
    <t>no_ineterpolation_x</t>
  </si>
  <si>
    <t>每个行正程中的dummy+black_reference像素</t>
  </si>
  <si>
    <t>pixel</t>
  </si>
  <si>
    <t>曝光模式</t>
  </si>
  <si>
    <t>ExposureMode</t>
  </si>
  <si>
    <t>Timed</t>
  </si>
  <si>
    <t>ineterpolation_x</t>
  </si>
  <si>
    <t>水平方向差值像素个数，左右共计8个</t>
  </si>
  <si>
    <t>ExposureOverlapTimeMax</t>
  </si>
  <si>
    <t>IF(ExposureTimeMode="Ultra Short",ROUNDUP(（Height*Vertical Binning)+Vbmin+black reference_y_frameinfo+Sfot_line_pause)*tRow/1000,0),(Height*Vertical Binning)+Vbmin+black reference_y_frameinfo+Sfot_line_pause)</t>
  </si>
  <si>
    <t>black reference_y_frameinfo</t>
  </si>
  <si>
    <t>垂直方向黑行个数，暂时不用设置为0,但是信息行无法删除，所以设置为1</t>
  </si>
  <si>
    <t>曝光时间模式</t>
  </si>
  <si>
    <t>ExposureTimeMode</t>
  </si>
  <si>
    <t>Standard</t>
  </si>
  <si>
    <t>IF(ExposureTimeMode="Ultra Short",xtrig_length+exp_delay_time+readout_time+Efot+ExpIntMin*tRow/1000+exp_start_dly,exp_line_num+exp_delay_time+ExpIntMin+ROUNDUP(exp_start_dly)*1000/tRow,0)</t>
  </si>
  <si>
    <t>ineterpolation_y</t>
  </si>
  <si>
    <t>垂直方向差值行，上下共计8行</t>
  </si>
  <si>
    <t>IF(ExposureTimeMode="Ultra Short",ROUNDUP(((100000/AcquisitionFrameRate))*AcquisitionFrameRateMode,0),ROUNDUP(((100000000/AcquisitionFrameRate)/tRow)*AcquisitionFrameRateMode,0))</t>
  </si>
  <si>
    <t xml:space="preserve">每行宽度
</t>
  </si>
  <si>
    <t>inck</t>
  </si>
  <si>
    <t>bandwidth_limit_period_time（在突发采集现在“HeightSpeed”时，不考虑预留带宽）</t>
  </si>
  <si>
    <t>hmax（32MHz）</t>
  </si>
  <si>
    <t>每行宽度
(sensor_ctrl修改时钟为32Mhz，所以这里要换算)</t>
  </si>
  <si>
    <t>ROUNDUP(hmax/Finck*32*1000,0)</t>
  </si>
  <si>
    <t>TriggerWidth模式下触发信号长度（demo上没有此项设置，在调试时方便计算帧周期）</t>
  </si>
  <si>
    <t>TriggerWidthLength</t>
  </si>
  <si>
    <t>sensor相关信息</t>
  </si>
  <si>
    <t>hmax_sensor</t>
  </si>
  <si>
    <t>sensor内部行周期</t>
  </si>
  <si>
    <t>ultra_short_time</t>
  </si>
  <si>
    <t>极小曝光模式下曝光时间，以fclk为单位</t>
  </si>
  <si>
    <t>ROUNDUP(IF(ExposureTimeMode="Ultra Short",(ExposureTime*Fclk/1000),"-"),0)</t>
  </si>
  <si>
    <t>fclk</t>
  </si>
  <si>
    <t>最小帧消隐行数，实际测量值</t>
  </si>
  <si>
    <t>曝光信号实际长度</t>
  </si>
  <si>
    <t>IF(ExposureTimeMode="Ultra Short",ExposureTime+monitor_exp,ROUNDUP(ExposureTime-exp_end_dly)*1000/tRow),0)
注1：在极小曝光情况下，sensor的曝光反馈信号要比实际设置的值大7us，因此需要计入到曝光信号实际长度中，而且极小曝光模式只发出一个脉冲信号不影响实际曝光时间。
注2：在工程中，gpix_ctrl模块中实际曝光时间等于period_exp_ctrl输出的trigger+曝光结束延迟的时间，所以设置给sensor的曝光时间寄存器应该为demo设置的曝光时间-曝光结束延迟。</t>
  </si>
  <si>
    <t>ExpIntMin</t>
  </si>
  <si>
    <t>两次曝光间隔最小值，实际测量值</t>
  </si>
  <si>
    <t>突发采集模式</t>
  </si>
  <si>
    <t>AcquisitionBurstMode</t>
  </si>
  <si>
    <t>曝光延迟时间</t>
  </si>
  <si>
    <t>ROUNDUP(((1000*ExposureDelay)/tRow),0)</t>
  </si>
  <si>
    <t>Sfot_line_pause</t>
  </si>
  <si>
    <t>行暂停时间,内部包含SFOT</t>
  </si>
  <si>
    <t>触发延时</t>
  </si>
  <si>
    <t>EFOT</t>
  </si>
  <si>
    <t>曝光结束到读出间隔</t>
  </si>
  <si>
    <t>极小曝光模式下闪光灯时间为200us定值；普通曝光时，闪光灯维持时间至少比曝光时间要展宽4个行周期</t>
  </si>
  <si>
    <t>IF(ExposureTimeMode="Ultra Short",200,If(((xtrig_length+4)*tRow/1000))&gt;100us,((xtrig_length+exp_start_dly-exp_end_dlY）+4)*tRow/1000),100us)）</t>
  </si>
  <si>
    <t>sensor串行差分时钟的数量</t>
  </si>
  <si>
    <t>ROI</t>
  </si>
  <si>
    <t>实际读出时间</t>
  </si>
  <si>
    <t>IF(ExposureTimeMode="Ultra Short",(ROUNDUP(（Height*Vertical Binning+Sfot_line_pause+black_reference_y_frameinfo)*tRow/1000,0),Height*Vertical Binning)+Sfot_line_pause+black_reference_y_frameinfo)</t>
  </si>
  <si>
    <t>每路sensor串行差分时钟对应的通道数</t>
  </si>
  <si>
    <t>水平偏移</t>
  </si>
  <si>
    <t>OffsetX</t>
  </si>
  <si>
    <t>sensor输出的最大宽度</t>
  </si>
  <si>
    <t>垂直偏移</t>
  </si>
  <si>
    <t>OffsetY</t>
  </si>
  <si>
    <t>图像有效带宽</t>
  </si>
  <si>
    <t>frame_freq*image_size</t>
  </si>
  <si>
    <t>Byte/s</t>
  </si>
  <si>
    <t>sensor_width_height</t>
  </si>
  <si>
    <t>sensor输出的最大高度</t>
  </si>
  <si>
    <t>传输总带宽</t>
  </si>
  <si>
    <t>frame_freq*frame_packet_size</t>
  </si>
  <si>
    <t>isp_ch_num</t>
  </si>
  <si>
    <t>数据通道处理通道数</t>
  </si>
  <si>
    <t>设置寄存器</t>
  </si>
  <si>
    <t>传输理论带宽</t>
  </si>
  <si>
    <t>1250*GevLinkSpeed*(100-BandwidthReserve)</t>
  </si>
  <si>
    <t>pix时钟</t>
  </si>
  <si>
    <t>exp_start_dly</t>
  </si>
  <si>
    <t>输出给sensor的触发到实际曝光开始的间隔.正常模式下曝光起始延迟时间为4倍sensor行周期+10.4us的固定值，极小曝光模式下只有4倍sensor行周期</t>
  </si>
  <si>
    <t>推算值
hex</t>
  </si>
  <si>
    <t>说明</t>
  </si>
  <si>
    <t>帧信息使能</t>
  </si>
  <si>
    <t>最大包间隔时间</t>
  </si>
  <si>
    <t>IF(ROUNDDOWN((1000000*eth_valid_bandwidth-(frame_packet_size+leader_packet_size+trailer_packet_size))/(complete_packet_num+incomplete_packet_num+2),0)-12&lt;180000,ROUNDDOWN((1000000*eth_valid_bandwidth-(frame_packet_size+leader_packet_size+trailer_packet_size))/(complete_packet_num+incomplete_packet_num+2),0)-12,180000)</t>
  </si>
  <si>
    <t>exp_end_dly</t>
  </si>
  <si>
    <t>输出给sensor的触发到实际曝光结束的间隔</t>
  </si>
  <si>
    <t>slave_hmax</t>
  </si>
  <si>
    <t>FPGA行周期</t>
  </si>
  <si>
    <t>dec2hex(hmax)</t>
  </si>
  <si>
    <t>帧周期相关寄存器，固件重新计算帧周期之后，会将对应的寄存器重新设置给FPGA，最后再设置一次成组生效寄存器，成组生效寄存器有效之后，之前设置的寄存器才会生效</t>
  </si>
  <si>
    <t>FPGA接口文档需要补充寄存器：xgs_hmax  767</t>
  </si>
  <si>
    <t>带宽控制</t>
  </si>
  <si>
    <t>monitor_exp</t>
  </si>
  <si>
    <t>极小曝光模式下，实际曝光反馈的时间比设置的曝光寄存器时间多6.9us，方便固件运算改为7</t>
  </si>
  <si>
    <t>xgs_exposure_mode</t>
  </si>
  <si>
    <t>曝光模式控制寄存器
0:timed
1:trigger width</t>
  </si>
  <si>
    <t>0x01000c18</t>
  </si>
  <si>
    <t>IF(ExposureMode="TriggerWidth",1,0)</t>
  </si>
  <si>
    <t>GevLinkSpeed</t>
  </si>
  <si>
    <t>Mbit/s</t>
  </si>
  <si>
    <t>IF((100-ROUNDDOWN(10*eth_valid_bandwidth/(125000*GevLinkSpeed),0)-1)&lt;0,0,(100-ROUNDDOWN(10*eth_valid_bandwidth/(125000*GevLinkSpeed),0)-1))</t>
  </si>
  <si>
    <t>Gige Vision参数</t>
  </si>
  <si>
    <t>exp_delay</t>
  </si>
  <si>
    <t>FPGA曝光延迟寄存器</t>
  </si>
  <si>
    <t>dec2hex(ExpDelayLine)</t>
  </si>
  <si>
    <t>流通道包长
(指的是以太网的负载包长 范围:512-16384)
该数值包含协议开销综合I，不包II</t>
  </si>
  <si>
    <t>TriggerWidth模式</t>
  </si>
  <si>
    <t>exp_time</t>
  </si>
  <si>
    <t>FPGA曝光寄存器</t>
  </si>
  <si>
    <t>dec2hex(exp_line_num)</t>
  </si>
  <si>
    <t>exp_overlaptime_maxline_num</t>
  </si>
  <si>
    <t>交叠曝光对应的行数</t>
  </si>
  <si>
    <t>MAX(INT(ExposureOverlapTimeMax*1000/tRow),1)</t>
  </si>
  <si>
    <t>trigger_interval_cont</t>
  </si>
  <si>
    <t>触发间隔寄存器-连续模式</t>
  </si>
  <si>
    <t>dec2hex(FramePeriod)</t>
  </si>
  <si>
    <t>exp_period_triggerwidth</t>
  </si>
  <si>
    <t>TriggerWidth模式下曝光时间决定的帧周期</t>
  </si>
  <si>
    <t>IF((TriggerMode=1)*(ExposureMode="TriggerWidth"),ROUNDUP(readout_period_time+MAX(,ROUNDUP(TriggerWidthLength*1000/tRow),exp_overlaptime_maxline_num)-(exp_overlaptime_maxline_num-ROUNDUP(exp_start_dly*1000/tRow))),"null")</t>
  </si>
  <si>
    <t>trigger_interval_single</t>
  </si>
  <si>
    <t>触发间隔寄存器-单帧采集模式</t>
  </si>
  <si>
    <t>exp_time_triggerwidth</t>
  </si>
  <si>
    <t>TriggerWidth模式下实际曝光时间</t>
  </si>
  <si>
    <t xml:space="preserve">IF((TriggerMode=1)*(ExposureMode="TriggerWidth"),
MAX(ROUNDUP(TriggerWidthLength*1000/tRow,0),exp_overlaptime_maxline_num)+ ROUNDUP(exp_end_dly*1000/tRow),"null") 
  </t>
  </si>
  <si>
    <t>trigger_interval_trig</t>
  </si>
  <si>
    <t>触发间隔寄存器-触发模式</t>
  </si>
  <si>
    <t>采集帧率调节模式(0/1)</t>
  </si>
  <si>
    <t>xgs_overlap_time_max</t>
  </si>
  <si>
    <t>电平控制曝光模式下，预期交叠曝光时间控制寄存器，以行为单位</t>
  </si>
  <si>
    <t>0x01000c1c</t>
  </si>
  <si>
    <t>dec2hex(exp_overlaptime_maxline_num)</t>
  </si>
  <si>
    <t>param_cfg_done</t>
  </si>
  <si>
    <t>寄存器成组生效标志，自清零</t>
  </si>
  <si>
    <t>1:成组生效寄存器设置完成</t>
  </si>
  <si>
    <t>0x1</t>
  </si>
  <si>
    <t>Binning/Skipping</t>
  </si>
  <si>
    <t xml:space="preserve">xgs_standby_en </t>
  </si>
  <si>
    <t>xgs_standby_en 系列sensor工作模式
1-sensor进入standby
0-sensor正常运行</t>
  </si>
  <si>
    <t>0x01000bf0</t>
  </si>
  <si>
    <t>sensor进入standby的指示信号</t>
  </si>
  <si>
    <t>xgs系列切换sensor极小曝光模式和正常曝光模式，需要进入standby，此时需要给FPGA一个指示信号</t>
  </si>
  <si>
    <t>FPGA接口文档需要补充寄存器：xgs_ultra_en  764</t>
  </si>
  <si>
    <t>水平Binning</t>
  </si>
  <si>
    <t>Horizontal Binning</t>
  </si>
  <si>
    <t xml:space="preserve">xgs_ultra_short_exp_en </t>
  </si>
  <si>
    <t>xgs_ultra_short_exp_en 系列sensor工作模式
1-极小曝光模式
0-slave模式</t>
  </si>
  <si>
    <t>IF(ExposureMode=" Short intergation",0,1)</t>
  </si>
  <si>
    <t>xgs系列sensor极小曝光模式，发出触发信号，普通模式发出电平信号</t>
  </si>
  <si>
    <t>FPGA接口文档需要补充寄存器：xgs_ultra_en  766</t>
  </si>
  <si>
    <t>垂直Binning</t>
  </si>
  <si>
    <t>Vertical Binning</t>
  </si>
  <si>
    <t>sensor读出时间</t>
  </si>
  <si>
    <t>dec2hex(readout_period_time)</t>
  </si>
  <si>
    <t>读出时间寄存器，由于只在停采期间会发生改变，因此不用作生效时机控制</t>
  </si>
  <si>
    <t>水平Skipping</t>
  </si>
  <si>
    <t>Horizontal Skipping</t>
  </si>
  <si>
    <t>packet_length</t>
  </si>
  <si>
    <t>正常包包长寄存器,仅payload部分，不包括ip、udp、gvsp头</t>
  </si>
  <si>
    <t>dec2hex(GevSCPSPacketSize-header_in_payload)</t>
  </si>
  <si>
    <t>上层修改包长之后，固件需要设置该寄存器给FPGA，只能停采期间设置</t>
  </si>
  <si>
    <t>垂直Skipping</t>
  </si>
  <si>
    <t>Vertical Skipping</t>
  </si>
  <si>
    <t>packet_gap</t>
  </si>
  <si>
    <t>包间隔寄存器</t>
  </si>
  <si>
    <t>dec2hex(host_packet_gap)</t>
  </si>
  <si>
    <t>上层设置的包间隔以byte为单位</t>
  </si>
  <si>
    <t>roi_line_hide</t>
  </si>
  <si>
    <t>水平行消隐，单位是clk_pix</t>
  </si>
  <si>
    <t>DEC2HEX((tRow-Width/isp_ch_num*1000000/clk_pix))/(1000000/clk_pix))</t>
  </si>
  <si>
    <t>PGI功能需要使用的行消隐寄存器，行消隐固定为最大宽度时的值，当Vbmin较小时也适用</t>
  </si>
  <si>
    <t>帧周期参数-GIGE</t>
  </si>
  <si>
    <t>sensor寄存器</t>
  </si>
  <si>
    <t>integration_offset_coarse_reg</t>
  </si>
  <si>
    <t>短曝光模式下，曝光时间寄存器，单位hmax</t>
  </si>
  <si>
    <t>IF(D10="Ultra short",DEC2HEX(ROUNDDOWN(ultra_short_time/hmax),0),"-")</t>
  </si>
  <si>
    <t>极小曝光模式下，需要设置coarse曝光寄存器和fine曝光寄存器，一个以行周期为单位进行粗调，一个以时钟位单位进行精调。</t>
  </si>
  <si>
    <r>
      <rPr>
        <sz val="11"/>
        <rFont val="宋体"/>
        <family val="3"/>
        <charset val="134"/>
        <scheme val="minor"/>
      </rPr>
      <t>leader长度</t>
    </r>
    <r>
      <rPr>
        <sz val="11"/>
        <rFont val="宋体"/>
        <family val="3"/>
        <charset val="134"/>
        <scheme val="minor"/>
      </rPr>
      <t>（净长）</t>
    </r>
  </si>
  <si>
    <t>integration_offset_fine_reg</t>
  </si>
  <si>
    <t>短曝光模式下，曝光时间寄存器，单位fclk</t>
  </si>
  <si>
    <t>trailer长度（净长）</t>
  </si>
  <si>
    <t>line_time_reg</t>
  </si>
  <si>
    <t>sensor行周期寄存器</t>
  </si>
  <si>
    <t>IF(D7=8,"0x"&amp;DEC2HEX(hmax),"0x"&amp;DEC2HEX(2*hmax))</t>
  </si>
  <si>
    <t>1、修改skipping时需要修改sensor行周期</t>
  </si>
  <si>
    <t>chunk大小</t>
  </si>
  <si>
    <t>大恒专用帧信息，a7系列为48byte</t>
  </si>
  <si>
    <t>传输图像大小（净长）</t>
  </si>
  <si>
    <t>Height*Width*n，if pixel format = 8bit，n=1，else n=2</t>
  </si>
  <si>
    <t>图像+chunk大小（净长）</t>
  </si>
  <si>
    <t>image_size+32*chunk_mode_active</t>
  </si>
  <si>
    <t>残包大小（净长）</t>
  </si>
  <si>
    <t>经过最小包长判断之后的残包大小（净长）</t>
  </si>
  <si>
    <t>以太网传输leader包的大小（包含全部协议开销）</t>
  </si>
  <si>
    <t>以太网传输trailer包的大小（包含全部协议开销）</t>
  </si>
  <si>
    <t>eth_protocol_byte+header_in_payload+trailer_size</t>
  </si>
  <si>
    <t>complete_packet_num*(GevSCPSPacketSize+eth_protocol_byte)+incomplete_packet_num*(incomplete_packet_size_min+eth_protocol_byte+header_in_payload)</t>
  </si>
  <si>
    <t>所有的帧间隔
（前导码和CRC校验已经在计算开销II时加过一次，这里只对最小帧间隔进行计算）</t>
  </si>
  <si>
    <t>(leader+trailer+incomplete_packet_num+complete_packet_num)*(GevSCPD,ifg_min)</t>
  </si>
  <si>
    <t>传输图像尺寸（包含全部协议开销与包间隔）</t>
  </si>
  <si>
    <t>int(link_speed*(100-BandwidthReserve)*10/100/8)</t>
  </si>
  <si>
    <t>byte/10s</t>
  </si>
  <si>
    <t>快采慢传新增表格</t>
  </si>
  <si>
    <t>IF(ExposureTimeMode="Ultra Short",ROUNDUP(frame_size/eth_valid_bandwidth*10,0),ROUNDUP(1000*frame_size/eth_valid_bandwidth*10/tRow))</t>
  </si>
  <si>
    <t>eth_valid_bandwidth_max</t>
  </si>
  <si>
    <t>最大以太网有效传输带宽，预留带宽为0，针对突发采集模式高速模式使用。</t>
  </si>
  <si>
    <t>int(link_speed*(100)*10/100/8)</t>
  </si>
  <si>
    <t>backend_limit_period_time_min</t>
  </si>
  <si>
    <t>最小后端传输限制的帧周期，预留带宽为0，针对突发采集模式高速模式使用。</t>
  </si>
  <si>
    <t>Sensor时钟</t>
  </si>
  <si>
    <t>行周期，单位时钟个数</t>
  </si>
  <si>
    <t>Hmax</t>
  </si>
  <si>
    <t>行周期，单位为ns</t>
  </si>
  <si>
    <t>最小行消音</t>
  </si>
  <si>
    <t>Vbmin</t>
  </si>
  <si>
    <t>从xvs信号下降沿到开始读出一行的间隔时间</t>
  </si>
  <si>
    <t>Txvs2rd</t>
  </si>
  <si>
    <t>从xvs信号下降沿到communication prohibited period结束</t>
  </si>
  <si>
    <t>Txvs2cpp</t>
  </si>
  <si>
    <t>SHS1</t>
  </si>
  <si>
    <t>配置sensor的时间【us】</t>
  </si>
  <si>
    <t>tConfig</t>
  </si>
  <si>
    <t>前段带宽最大值</t>
  </si>
  <si>
    <t>BandWidthMax</t>
  </si>
  <si>
    <t>sensor最小设置高度</t>
  </si>
  <si>
    <t>sensor_height_min</t>
  </si>
  <si>
    <t>tolerance_line</t>
  </si>
  <si>
    <t>0x77601650</t>
  </si>
  <si>
    <t>0x77601658</t>
  </si>
  <si>
    <t>帧周期寄存器</t>
  </si>
  <si>
    <t>0x7760165c</t>
  </si>
  <si>
    <t>帧周期[单位：行]</t>
  </si>
  <si>
    <t>帧周期[单位：us]</t>
  </si>
  <si>
    <t xml:space="preserve"> </t>
  </si>
  <si>
    <t>帧率控制值</t>
  </si>
  <si>
    <t>SENSOR寄存器</t>
  </si>
  <si>
    <t>像素格式1（8/12）</t>
  </si>
  <si>
    <t>行周期1</t>
  </si>
  <si>
    <t>ROUNDUP(tPixclk*line_length_pck,0)</t>
  </si>
  <si>
    <t>Pixclk</t>
  </si>
  <si>
    <t>Sensor系统时钟频率</t>
  </si>
  <si>
    <t>--</t>
  </si>
  <si>
    <t>Sensor垂直方向输出起始位置</t>
  </si>
  <si>
    <t>R12290(0x3002)</t>
  </si>
  <si>
    <t>8+OffsetY*binning_y</t>
  </si>
  <si>
    <t>帧周期1</t>
  </si>
  <si>
    <t>frame_period_line*tRow/1000</t>
  </si>
  <si>
    <t>vt_pix_clk</t>
  </si>
  <si>
    <t>2.4MHz&lt;=fvt_pix_clk&lt;=160MHz</t>
  </si>
  <si>
    <t>Sensor水平方向输出起始位置</t>
  </si>
  <si>
    <t>R12292(0x3004)</t>
  </si>
  <si>
    <t>曝光模式1</t>
  </si>
  <si>
    <t>帧率1</t>
  </si>
  <si>
    <t>op_pix_clk</t>
  </si>
  <si>
    <t>2.4MHz&lt;=fop_pix_clk&lt;=40MHz</t>
  </si>
  <si>
    <t>Sensor垂直方向输出结束位置</t>
  </si>
  <si>
    <t>R12294(0x3006)</t>
  </si>
  <si>
    <t>y_addr_start+y_output_size-1</t>
  </si>
  <si>
    <t>曝光时间模式1</t>
  </si>
  <si>
    <t>Sensor水平方向输出结束位置</t>
  </si>
  <si>
    <t>R12296(0x3008)</t>
  </si>
  <si>
    <t>x_addr_start+x_output_size-1</t>
  </si>
  <si>
    <t>曝光时间1</t>
  </si>
  <si>
    <t>Height*binning_y+Vbmin</t>
  </si>
  <si>
    <t>两次曝光间隔最小值</t>
  </si>
  <si>
    <t>Sensor帧周期所对应的行个数</t>
  </si>
  <si>
    <t>R12298(0x300A)</t>
  </si>
  <si>
    <t>frame_period_line</t>
  </si>
  <si>
    <t>coarse_integration_time+ExpIntMin</t>
  </si>
  <si>
    <t>Sensor行周期所对应的时钟个数</t>
  </si>
  <si>
    <t>R12300(0x300C)</t>
  </si>
  <si>
    <t>触发模式1</t>
  </si>
  <si>
    <t>trigger_period_time</t>
  </si>
  <si>
    <t>(ExposureTime+readout_time+tRestart)*10^3/tRow</t>
  </si>
  <si>
    <t>Sensor每行输出的像素个数</t>
  </si>
  <si>
    <t>R844(0x34C)</t>
  </si>
  <si>
    <t>ROUNDUP(((100000000/AcquisitionFrameRate)/tRow)*AcquisitionFrameRateMode,0)</t>
  </si>
  <si>
    <t>Sensor输出的行数</t>
  </si>
  <si>
    <t>R846(0x34E)</t>
  </si>
  <si>
    <t>Height*binning_y</t>
  </si>
  <si>
    <t>触发延迟1</t>
  </si>
  <si>
    <t>bandwidth_limit_period_time</t>
  </si>
  <si>
    <t>Sensor曝光时间粗调寄存器，单位为行周期</t>
  </si>
  <si>
    <t>R12306(0x3012)</t>
  </si>
  <si>
    <t>ROUNDDOWN(ExposureTime/tRow)</t>
  </si>
  <si>
    <t>pix时钟，对应isp处理时钟</t>
  </si>
  <si>
    <t>fine_integration_time</t>
  </si>
  <si>
    <t>Sensor曝光时间微调寄存器，单位为tPixclk</t>
  </si>
  <si>
    <t>R12308(0x3014)</t>
  </si>
  <si>
    <t>水平偏移1</t>
  </si>
  <si>
    <t>exp_true_length</t>
  </si>
  <si>
    <t>(coarse_integration_time*tRow+fine_integration_time*tPixclk)/1000</t>
  </si>
  <si>
    <t>中间计算结果</t>
  </si>
  <si>
    <t>垂直偏移1</t>
  </si>
  <si>
    <t>trig_to_frame</t>
  </si>
  <si>
    <t>从触发到得图时间</t>
  </si>
  <si>
    <t>TriggerDelay+tRestart+exp_true_length+MAX(readout_time,eth_time_per_frame)</t>
  </si>
  <si>
    <t>tPixclk</t>
  </si>
  <si>
    <t>Sensor系统时钟周期</t>
  </si>
  <si>
    <t>1/Pixclk</t>
  </si>
  <si>
    <t>图像宽度1</t>
  </si>
  <si>
    <t>TriggerDelay+tRestart+(y_output_size-1)*tRow</t>
  </si>
  <si>
    <t>实际帧周期</t>
  </si>
  <si>
    <t>IF(TriggerMode=1,MAX(trigger_period_time,fps_limit_period_time),MAX(readout_period_time,exp_period_time,fps_limit_period_time,tp_limit_period_time))</t>
  </si>
  <si>
    <t>trigger_interval</t>
  </si>
  <si>
    <t>触发模式下帧周期设置寄存器，单位是us</t>
  </si>
  <si>
    <t>0x1000474</t>
  </si>
  <si>
    <t>ROUNDUP(MAX(trigger_period_time,fps_limit_period_time)*tRow/1000)</t>
  </si>
  <si>
    <t>触发帧周期，用于产生触发等待和触发屏蔽信号</t>
  </si>
  <si>
    <t>图像高度1</t>
  </si>
  <si>
    <t>闪光灯持续时间</t>
  </si>
  <si>
    <t>IF(exp_true_length-(y_output_size-1)*tRow)&gt;0,exp_true_length-(y_output_size-1)*tRow),0)</t>
  </si>
  <si>
    <t>eth_time_per_frame</t>
  </si>
  <si>
    <t>后端传输一帧图像的时间</t>
  </si>
  <si>
    <t>frame_size*10*10^3/eth_valid_bandwidth</t>
  </si>
  <si>
    <t>ms</t>
  </si>
  <si>
    <t>roi_offsetx_bf_binning</t>
  </si>
  <si>
    <t>binning/skipping处理前ROI水平偏移寄存器</t>
  </si>
  <si>
    <t>0x11000D4</t>
  </si>
  <si>
    <t>OffsetX*binning_x</t>
  </si>
  <si>
    <t>FPGA ROI相关寄存器，停采可设</t>
  </si>
  <si>
    <t>Height*binning_y*tRow</t>
  </si>
  <si>
    <t>roi_offsety_bf_binning</t>
  </si>
  <si>
    <t>binning/skipping处理前ROI垂直偏移寄存器</t>
  </si>
  <si>
    <t>0x11000D8</t>
  </si>
  <si>
    <t>offset_y*binning_y</t>
  </si>
  <si>
    <t>帧信息使能1</t>
  </si>
  <si>
    <t>roi_width_bf_binning</t>
  </si>
  <si>
    <t>binning/skipping处理前ROI宽度寄存器</t>
  </si>
  <si>
    <t>0x11000DC</t>
  </si>
  <si>
    <t>Width*binning_x</t>
  </si>
  <si>
    <t>roi_height_bf_binning</t>
  </si>
  <si>
    <t>binning/skipping处理前ROI高度寄存器</t>
  </si>
  <si>
    <t>0x11000E0</t>
  </si>
  <si>
    <t>网络连接速度1</t>
  </si>
  <si>
    <t>single_roi_offset_x</t>
  </si>
  <si>
    <t>binning/skipping处理后的ROI水平偏移寄存器</t>
  </si>
  <si>
    <t>0x110001C</t>
  </si>
  <si>
    <t>offset_x</t>
  </si>
  <si>
    <t>流通道包长1
(指的是以太网的负载包长 范围:512-16384)
该数值包含协议开销综合I，不包II</t>
  </si>
  <si>
    <t>single_roi_offset_y</t>
  </si>
  <si>
    <t>binning/skipping处理后的ROI垂直偏移寄存器</t>
  </si>
  <si>
    <t>0x1100020</t>
  </si>
  <si>
    <t>offset_y</t>
  </si>
  <si>
    <t>single_roi_pic_width</t>
  </si>
  <si>
    <t>binning/skipping处理后的ROI宽度寄存器</t>
  </si>
  <si>
    <t>0x1100024</t>
  </si>
  <si>
    <t>width</t>
  </si>
  <si>
    <t>最大包间隔时间
（最低帧率为0.5fps）</t>
  </si>
  <si>
    <t>IF(ROUNDDOWN((1000000*eth_valid_bandwidth-5*(frame_packet_size+leader_packet_size+trailer_packet_size))/(complete_packet_num+incomplete_packet_num+2)/5,0)&lt;180000,ROUNDDOWN((1000000*eth_valid_bandwidth-5*(frame_packet_size+leader_packet_size+trailer_packet_size))/(complete_packet_num+incomplete_packet_num+2)/5,0),180000)</t>
  </si>
  <si>
    <t>single_roi_pic_height</t>
  </si>
  <si>
    <t>binning/skipping处理后的ROI高度寄存器</t>
  </si>
  <si>
    <t>0x1100028</t>
  </si>
  <si>
    <t>height</t>
  </si>
  <si>
    <t>0x1200100</t>
  </si>
  <si>
    <t>采集帧率调节模式1(0/1)</t>
  </si>
  <si>
    <t>最大预留带宽
（最低帧率为0.5fps）</t>
  </si>
  <si>
    <t>IF((100-ROUNDDOWN(50*eth_valid_bandwidth/(125000*GevLinkSpeed),0)-1)&lt;0,0,(100-ROUNDDOWN(50*eth_valid_bandwidth/(125000*GevLinkSpeed),0)-1))</t>
  </si>
  <si>
    <t>0x1400080</t>
  </si>
  <si>
    <t>帧率控制1</t>
  </si>
  <si>
    <t>0x1100010</t>
  </si>
  <si>
    <t>DEC2HEX(ROUNDUP((tRow-Width/isp_ch_num*1000000/clk_pix))/(1000000/clk_pix)))</t>
  </si>
  <si>
    <t>PGI功能需要使用的行消隐寄存器</t>
  </si>
  <si>
    <t>binning/skipping</t>
  </si>
  <si>
    <t>水平binning/skipping</t>
  </si>
  <si>
    <t>binning_x</t>
  </si>
  <si>
    <t>垂直binning/skipping</t>
  </si>
  <si>
    <t>binning_y</t>
  </si>
  <si>
    <r>
      <rPr>
        <b/>
        <sz val="12"/>
        <color theme="1"/>
        <rFont val="宋体"/>
        <family val="3"/>
        <charset val="134"/>
        <scheme val="minor"/>
      </rPr>
      <t>F</t>
    </r>
    <r>
      <rPr>
        <b/>
        <sz val="12"/>
        <color theme="1"/>
        <rFont val="宋体"/>
        <family val="3"/>
        <charset val="134"/>
        <scheme val="minor"/>
      </rPr>
      <t>PS</t>
    </r>
  </si>
  <si>
    <t>me2p-1230-9gx</t>
  </si>
  <si>
    <t>7.margin_x</t>
  </si>
  <si>
    <t>8.margin_y</t>
  </si>
  <si>
    <t>9.sensor_width_min</t>
  </si>
  <si>
    <t>10.sensor_height_min</t>
  </si>
  <si>
    <t>11.sensor_width_max</t>
  </si>
  <si>
    <t>12.sensor_height_max</t>
  </si>
  <si>
    <t>13.hmax</t>
  </si>
  <si>
    <t>14.VBmin</t>
  </si>
  <si>
    <t>15.ExpIntMin</t>
  </si>
  <si>
    <t>16.tOFFSET</t>
  </si>
  <si>
    <t>17.tTGDLY</t>
  </si>
  <si>
    <t>18.Default ExposureTime</t>
  </si>
  <si>
    <t>19.Default FrameRate</t>
  </si>
  <si>
    <t>20.PixelFormat</t>
  </si>
  <si>
    <t>IMX304</t>
  </si>
  <si>
    <r>
      <rPr>
        <sz val="11"/>
        <rFont val="宋体"/>
        <family val="3"/>
        <charset val="134"/>
        <scheme val="minor"/>
      </rPr>
      <t>像素格式(8/</t>
    </r>
    <r>
      <rPr>
        <sz val="11"/>
        <color rgb="FFFF0000"/>
        <rFont val="宋体"/>
        <family val="3"/>
        <charset val="134"/>
        <scheme val="minor"/>
      </rPr>
      <t>12</t>
    </r>
    <r>
      <rPr>
        <sz val="11"/>
        <rFont val="宋体"/>
        <family val="3"/>
        <charset val="134"/>
        <scheme val="minor"/>
      </rPr>
      <t>)</t>
    </r>
  </si>
  <si>
    <t>Sensor输入时钟频率
(手册第一页Features Input frequency)</t>
  </si>
  <si>
    <t>37.125 or 54 or 74.25 抖动幅度0.96~1.02</t>
  </si>
  <si>
    <t>IF(ExposureTimeMode="Ultra Short",IF(TriggerMode=1,MAX(readout_period_time,exp_period_time,fps_limit_period_time),MAX(readout_period_time,exp_period_time,fps_limit_period_time,tp_limit_period_time)),IF(TriggerMode=1,ROUNDUP(MAX(readout_period_time,exp_period_time,fps_limit_period_time),0),ROUNDUP(MAX(readout_period_time,exp_period_time,fps_limit_period_time,tp_limit_period_time),0)))</t>
  </si>
  <si>
    <t>有效像素边界
(手册Pixel Arrangement章节，图示)</t>
  </si>
  <si>
    <t>每行宽度
(手册Readout Drive Modes章节，见表格，All pixel模式)</t>
  </si>
  <si>
    <t>IF(ExposureTimeMode="Ultra Short",ROUNDUP((Height+VBmin)*tRow/1000,0)+10,Height+VBmin)</t>
  </si>
  <si>
    <r>
      <rPr>
        <sz val="11"/>
        <color theme="1"/>
        <rFont val="宋体"/>
        <family val="3"/>
        <charset val="134"/>
        <scheme val="minor"/>
      </rPr>
      <t>最小帧消隐行数
(手册Global Shutter (Sequential Trigger Mode) Operation章节，V</t>
    </r>
    <r>
      <rPr>
        <sz val="9"/>
        <color theme="1"/>
        <rFont val="宋体"/>
        <family val="3"/>
        <charset val="134"/>
        <scheme val="minor"/>
      </rPr>
      <t>TR公式</t>
    </r>
    <r>
      <rPr>
        <sz val="11"/>
        <color theme="1"/>
        <rFont val="宋体"/>
        <family val="3"/>
        <charset val="134"/>
        <scheme val="minor"/>
      </rPr>
      <t>最后一个参数)</t>
    </r>
  </si>
  <si>
    <t>IF(ExposureTimeMode="Ultra Short",xtrig_length+exp_delay_time+readout_time+20,exp_line_num+exp_delay_time+ExpIntMin)</t>
  </si>
  <si>
    <t>两次曝光间隔最小值
(手册Global Shutter (Sequential Trigger Mode) Operation章节，表格Parameter List of Global Shutter中的tTGES+1)</t>
  </si>
  <si>
    <t>tOFFSET</t>
  </si>
  <si>
    <t>曝光时间误差
(手册Global Shutter (Sequential Trigger Mode) Operation章节，Exposuretime[s]公式最后一个参数)</t>
  </si>
  <si>
    <t>IF(ExposureTimeMode="Ultra Short",IF(ExposureTime&gt;14,ROUNDUP((ExposureTime*1000-tOFFSET)/1000,0),1),MAX(ROUNDUP(((ExposureTime*1000-tOFFSET)/tRow),0),1))</t>
  </si>
  <si>
    <t>IF(ExposureTimeMode="Ultra Short",ExposureDelay,ROUNDUP(((1000*ExposureDelay)/tRow),0))</t>
  </si>
  <si>
    <t>极小曝光时，闪光灯维持时间至少比曝光时间要展宽4us；普通曝光时，闪光灯维持时间至少比曝光时间要展宽4个行周期</t>
  </si>
  <si>
    <t>IF(ExposureTimeMode="Ultra Short",IF((exp_time+4))&gt;100us,(exp_time+4),100us),if((exp_time+4*tRow/1000))&gt;100us,(exp_time+4*tRow/1000),100us))</t>
  </si>
  <si>
    <t>实际读出时间
(Sequential Trigger Mode) Operation章节，表格Parameter List of Global Shutter中的tTGDLY)</t>
  </si>
  <si>
    <t>IF(ExposureTimeMode="Ultra Short",ROUNDUP((pic_height+11+tTGDLY)*tRow/1000,0),pic_height+11+tTGDLY)</t>
  </si>
  <si>
    <t>0x77601654</t>
  </si>
  <si>
    <t>IF(ROUNDDOWN((1000000*eth_valid_bandwidth-(frame_packet_size+leader_packet_size+trailer_packet_size))/(complete_packet_num+incomplete_packet_num+2),0)&lt;180000,ROUNDDOWN((1000000*eth_valid_bandwidth-(frame_packet_size+leader_packet_size+trailer_packet_size))/(complete_packet_num+incomplete_packet_num+2),0),180000)</t>
  </si>
  <si>
    <r>
      <rPr>
        <sz val="11"/>
        <color rgb="FFFF0000"/>
        <rFont val="宋体"/>
        <family val="3"/>
        <charset val="134"/>
        <scheme val="minor"/>
      </rPr>
      <t xml:space="preserve">0x77601850
</t>
    </r>
    <r>
      <rPr>
        <sz val="11"/>
        <rFont val="宋体"/>
        <family val="3"/>
        <charset val="134"/>
        <scheme val="minor"/>
      </rPr>
      <t>me2p-1230-9gx-p暂未使用</t>
    </r>
  </si>
  <si>
    <t>0x77601500</t>
  </si>
  <si>
    <t>sonyimx_sensor_mode</t>
  </si>
  <si>
    <t>sonyimx系列sensor工作模式
0-master模式
1-slave模式</t>
  </si>
  <si>
    <r>
      <rPr>
        <sz val="11"/>
        <rFont val="宋体"/>
        <family val="3"/>
        <charset val="134"/>
        <scheme val="minor"/>
      </rPr>
      <t>0x77601854
me2p-1230-9gx-p暂时使用</t>
    </r>
    <r>
      <rPr>
        <sz val="11"/>
        <color rgb="FFFF0000"/>
        <rFont val="宋体"/>
        <family val="3"/>
        <charset val="134"/>
        <scheme val="minor"/>
      </rPr>
      <t>0x776017f0</t>
    </r>
  </si>
  <si>
    <t>IF(ExposureMode="Ultra Short",0,1)</t>
  </si>
  <si>
    <t>sonyimx系列sensor工作模式寄存器，只能在停采期间设置</t>
  </si>
  <si>
    <t>exp_enable</t>
  </si>
  <si>
    <t>曝光使能信号，控制sensor工作在Ultra Short模式的时候是否可以开始曝光
0-可以曝光
1-不能曝光</t>
  </si>
  <si>
    <r>
      <rPr>
        <sz val="11"/>
        <rFont val="宋体"/>
        <family val="3"/>
        <charset val="134"/>
        <scheme val="minor"/>
      </rPr>
      <t>0x77601858</t>
    </r>
    <r>
      <rPr>
        <sz val="11"/>
        <color rgb="FFFF000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>me2p-1230-9gx-p暂时使用</t>
    </r>
    <r>
      <rPr>
        <sz val="11"/>
        <color rgb="FFFF0000"/>
        <rFont val="宋体"/>
        <family val="3"/>
        <charset val="134"/>
        <scheme val="minor"/>
      </rPr>
      <t>0x776017f4</t>
    </r>
  </si>
  <si>
    <t xml:space="preserve">1、只有当sensor从其他曝光时间切换至Ultra Short模式的14us及以下时，先将该寄存器置0，然后查询完整帧标志，完整帧标志无效后，设置sensor的Ultra Short相关寄存器为对应曝光值，之后将该寄存器置1，完成曝光时间的设置
2、当sensor工作在其他曝光时间时，无论是Ultra Short模式的15-100us，还是工作在standard模式，该寄存器需要保持为1
</t>
  </si>
  <si>
    <r>
      <rPr>
        <sz val="11"/>
        <rFont val="宋体"/>
        <family val="3"/>
        <charset val="134"/>
        <scheme val="minor"/>
      </rPr>
      <t>0x7760185C</t>
    </r>
    <r>
      <rPr>
        <sz val="11"/>
        <color rgb="FFFF000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>me2p-1230-9gx-p暂时使用</t>
    </r>
    <r>
      <rPr>
        <sz val="11"/>
        <color rgb="FFFF0000"/>
        <rFont val="宋体"/>
        <family val="3"/>
        <charset val="134"/>
        <scheme val="minor"/>
      </rPr>
      <t>0x776017f8</t>
    </r>
  </si>
  <si>
    <t>0x7760144c</t>
  </si>
  <si>
    <t>水平Binning/Skipping</t>
  </si>
  <si>
    <t>Horizontal Binning/Skipping</t>
  </si>
  <si>
    <t>0x776014c0</t>
  </si>
  <si>
    <t>垂直Binning/Skipping</t>
  </si>
  <si>
    <t>Vertical Binning/Skipping</t>
  </si>
  <si>
    <t>A7-100T</t>
  </si>
  <si>
    <t>me2s-1260-9gx</t>
  </si>
  <si>
    <t>ROUNDUP(IF(ExposureTimeMode="Ultra Short",(ExposureTime*Fclk/1000),"-"),0)
xgs5k默认设置的曝光反馈</t>
  </si>
  <si>
    <t>IF(ExposureTimeMode="Ultra Short",200,If(((xtrig_length+4)*tRow/1000))&gt;100us,((xtrig_length+exp_start_dly-exp_end_dlY）+4)*tRow/1000),100us)）
针对12k来说，闪光灯时间=曝光起始延迟+实际曝光时间+扩展的4倍行周期（公式暂不改动，待同步兼容方案后统一修改）</t>
  </si>
  <si>
    <t>leader长度（净长）</t>
  </si>
  <si>
    <r>
      <rPr>
        <sz val="11"/>
        <color theme="1"/>
        <rFont val="宋体"/>
        <family val="3"/>
        <charset val="134"/>
        <scheme val="minor"/>
      </rPr>
      <t>The current parameter is not within the range:[</t>
    </r>
    <r>
      <rPr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,'WidthMax'], please enter again</t>
    </r>
  </si>
  <si>
    <t>me2p-2621-4gx</t>
  </si>
  <si>
    <t>固定参数（每款sensor值不一样，需要提取成宏）</t>
  </si>
  <si>
    <t xml:space="preserve">3.Master Clock </t>
  </si>
  <si>
    <t>4.pixel_clk</t>
  </si>
  <si>
    <t>13.Tfot</t>
  </si>
  <si>
    <t>14.LINE_U_LENGTH</t>
  </si>
  <si>
    <t>15.Nline</t>
  </si>
  <si>
    <t>16.exp_start_dly_line</t>
  </si>
  <si>
    <t>17.exp_end_dly_clk</t>
  </si>
  <si>
    <t>18.tp_row_num</t>
  </si>
  <si>
    <t>19.VBmin</t>
  </si>
  <si>
    <t>20.Readout margin</t>
  </si>
  <si>
    <t>21.PixelFormat</t>
  </si>
  <si>
    <t>22.Default exposureTime</t>
  </si>
  <si>
    <t>23.Default pic_width</t>
  </si>
  <si>
    <t>24.Default pic_height</t>
  </si>
  <si>
    <t>25.Default FrameRate</t>
  </si>
  <si>
    <t>gmax0505</t>
  </si>
  <si>
    <t>1000*Nline*LINE_U_LENGTH/freq_pix_clk</t>
  </si>
  <si>
    <t>参见映射关系表</t>
  </si>
  <si>
    <t>pixel_format</t>
  </si>
  <si>
    <t>frame_time</t>
  </si>
  <si>
    <t>max(readout_period_time,exp_period_time,tp_limit_period_time,fps_limit_period_time)</t>
  </si>
  <si>
    <t>LINE_U_LENGTH</t>
  </si>
  <si>
    <t>frame_freq</t>
  </si>
  <si>
    <t>1000000/frame_time</t>
  </si>
  <si>
    <t>Tfot</t>
  </si>
  <si>
    <t>Nline</t>
  </si>
  <si>
    <t>行周期计算系数</t>
  </si>
  <si>
    <t>ROUNDUP(((Height+VBmin+Readout margin)*img_row_time+Tfot)/1000,0)</t>
  </si>
  <si>
    <t>roundup(ExposureTime+exp_start_delay+exp_end_delay+Tfot)</t>
  </si>
  <si>
    <t>exp_start_dly_line</t>
  </si>
  <si>
    <t>曝光开始延迟</t>
  </si>
  <si>
    <t>trig_delay</t>
  </si>
  <si>
    <t>ROUNDUP((1000000/fps_limit_value)*fps_limit,0)</t>
  </si>
  <si>
    <t>exp_end_dly_clk</t>
  </si>
  <si>
    <t>曝光结束延迟</t>
  </si>
  <si>
    <t>clk</t>
  </si>
  <si>
    <t>tp_row_num</t>
  </si>
  <si>
    <t>行暂停时间</t>
  </si>
  <si>
    <t>Readout margin</t>
  </si>
  <si>
    <t>读出时间边界预留</t>
  </si>
  <si>
    <t>实际曝光时间</t>
  </si>
  <si>
    <t>ROUNDUP((1000*ExposureTime-1000*tp_row_num/freq_pix_clk)/1000,0)</t>
  </si>
  <si>
    <t>exp_delay_line_num</t>
  </si>
  <si>
    <t>judgment of risky duration</t>
  </si>
  <si>
    <t>判断下帧曝光是否落到风险区</t>
  </si>
  <si>
    <t>IF((frame_time-exp_time)&lt;readout_period_time,IF((frame_time-exp_time)&gt;=(readout_period_time-6*ROUNDUP(img_row_time/1000,0)),1,0),0)</t>
  </si>
  <si>
    <t>exp risky delay time</t>
  </si>
  <si>
    <t>由风险区导致的下帧曝光延迟时间</t>
  </si>
  <si>
    <t>IF(judgment of risky duration=1,readout_period_time-(frame_time-exp_time),0)</t>
  </si>
  <si>
    <t>寄存器</t>
  </si>
  <si>
    <t>地址hex</t>
  </si>
  <si>
    <t>gmax_exposure_delay</t>
  </si>
  <si>
    <t>gmax系列相机曝光延时，仅用于配合闪光灯补光使用，单位是us。</t>
  </si>
  <si>
    <t>IF(ROUNDDOWN((eth_valid_bandwidth-(frame_packet_size+leader_packet_size+trailer_packet_size))/(complete_packet_num+incomplete_packet_num+2),0)&lt;180000,ROUNDDOWN((eth_valid_bandwidth-(frame_packet_size+leader_packet_size+trailer_packet_size))/(complete_packet_num+incomplete_packet_num+2),0),180000)</t>
  </si>
  <si>
    <t>gmax_exposure_time</t>
  </si>
  <si>
    <t>gmax系列相机从模式曝光时间，单位是us</t>
  </si>
  <si>
    <t>gmax_trigger_interval_cont</t>
  </si>
  <si>
    <t xml:space="preserve">gmax系列相机触发间隔-连续模式，表示帧周期，单位是us。 </t>
  </si>
  <si>
    <t>gmax_trigger_interval_trig</t>
  </si>
  <si>
    <t>0x77601850</t>
  </si>
  <si>
    <t xml:space="preserve">gmax系列相机触发间隔-触发模式，表示帧周期，单位是us。 </t>
  </si>
  <si>
    <t>gmax_readout_time</t>
  </si>
  <si>
    <t>0x7760185C</t>
  </si>
  <si>
    <t>gmax系列相机读出时间，表示图像传输时间，单位是us。</t>
  </si>
  <si>
    <t>Skipping</t>
  </si>
  <si>
    <t>gmax_risky_start</t>
  </si>
  <si>
    <t>0x77601860</t>
  </si>
  <si>
    <t>gmax系列相机风险区范围，单位是us。</t>
  </si>
  <si>
    <t>Height+tp_row_num+4</t>
  </si>
  <si>
    <t>0x7760147C</t>
  </si>
  <si>
    <t>ROUNDUP(img_row_time*freq_pix_clk/1000,0)-Width/phy num/phy ch num</t>
  </si>
  <si>
    <t>if(incomplete_packet_size=0,0,1)</t>
  </si>
  <si>
    <t>ROUNDUP(ROUNDUP(1000000*frame_size/eth_valid_bandwidth*10)</t>
  </si>
  <si>
    <t>me2p-560-21gx</t>
  </si>
  <si>
    <t>13.Tfot(系列化时公式须根据实测情况调整)</t>
  </si>
  <si>
    <t>me2p-1840-6gx</t>
  </si>
  <si>
    <t>gmax2518</t>
  </si>
  <si>
    <t>me2p-900-13gx</t>
  </si>
  <si>
    <t>gmax2509</t>
  </si>
  <si>
    <t>gmax2505</t>
  </si>
  <si>
    <t>IF((100-ROUNDDOWN(10*frame_size/(125000*GevLinkSpeed),0)-1)&lt;0,0,(100-ROUNDDOWN(10*frame_size/(125000*GevLinkSpeed),0)-1))</t>
  </si>
  <si>
    <t>gmax系列相机风险区开始时间，单位是us。</t>
  </si>
  <si>
    <t>DEC2HEX(ROUNDUP(6*img_row_time/1000,0))</t>
  </si>
  <si>
    <t>26.Risky Duration</t>
  </si>
  <si>
    <t>Risky Duration</t>
  </si>
  <si>
    <t>是否存在风险区</t>
  </si>
  <si>
    <t>Current parameter is not in the range [64, 'WidthMax'], please input again.</t>
  </si>
  <si>
    <t>Current parameter is not in the range [64, 'HeightMax'], please input again.</t>
  </si>
  <si>
    <r>
      <rPr>
        <sz val="11"/>
        <color theme="1"/>
        <rFont val="宋体"/>
        <family val="3"/>
        <charset val="134"/>
        <scheme val="minor"/>
      </rPr>
      <t>Current parameter is not in the range [</t>
    </r>
    <r>
      <rPr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, 'WidthMax'], please input again.</t>
    </r>
  </si>
  <si>
    <t>Binning水平系数</t>
  </si>
  <si>
    <t>Binning垂直系数</t>
  </si>
  <si>
    <t>Skipping水平系数</t>
  </si>
  <si>
    <t>Skipping垂直系数</t>
  </si>
  <si>
    <t>The current parameter is not within the range:[64,'WidthMax'], please enter again</t>
  </si>
  <si>
    <t>The current parameter is not within the range:[4,'HeightMax'], please enter again</t>
  </si>
  <si>
    <t>mer2-240-47gx</t>
  </si>
  <si>
    <t>A7</t>
  </si>
  <si>
    <t>27.Dummy_line</t>
  </si>
  <si>
    <t>gmax4002</t>
  </si>
  <si>
    <t>IF(TriggerMode=0,MAX(readout_period_time,exp_period_time,tp_limit_period_time,fps_limit_period_time)+exp risky delay time,,IF(AcquisitionBurstMode="HighSpeed",IF(ExposureMode="TriggerWidth",MAX(readout_period_time,exp_period_triggerwidth,fps_limit_period_time),MAX(readout_period_time,exp_period_time,fps_limit_period_time)+exp risky delay time),,IF(ExposureMode="TriggerWidth",MAX(readout_period_time,exp_period_triggerwidth,fps_limit_period_time,backend_limit_period_time_min),MAX(readout_period_time,exp_period_time,fps_limit_period_time,backend_limit_period_time_min)+exp risky delay time)))</t>
  </si>
  <si>
    <t>ROUNDUP(((Height*Vertical binning+VBmin+Readout margin+Dummy_line)*img_row_time+Tfot)/1000,0)</t>
  </si>
  <si>
    <t>bandwidth_limit_period_time(突发采集模式的""Standard"不考虑预留带宽)</t>
  </si>
  <si>
    <t>Dummy_line</t>
  </si>
  <si>
    <t>图像读出哑行个数</t>
  </si>
  <si>
    <t>IF(Risky Duration,IF((TriggerMode=1)*(ExposureMode="TriggerWidth"),IF((ExposureOverlapTimeMax&lt;=ROUNDUP(6*img_row_time/1000,0))*(ExposureOverlapTimeMax&gt;0),1,0),IF((frame_time-exp_time)&lt;readout_period_time,IF((frame_time-exp_time)&gt;=(readout_period_time-6*ROUNDUP(img_row_time/1000,0)),1,0)),0)</t>
  </si>
  <si>
    <t>IF(judgment of risky duration=1,IF((TriggerMode=1)*(ExposureMode="TriggerWidth"),ExposureOverlapTimeMax,readout_period_time-(frame_time-exp_time)),0)</t>
  </si>
  <si>
    <t>gmax_trigger_interval_single</t>
  </si>
  <si>
    <t>单帧模式下的帧周期寄存器，以us为单位
计算方法为读出帧周期、曝光帧周期两者的最大值</t>
  </si>
  <si>
    <t>IF(Risky Duration,DEC2HEX(ROUNDUP(6*img_row_time/1000,0)),0)</t>
  </si>
  <si>
    <t>TriggerWidth模式下曝光时间</t>
  </si>
  <si>
    <t>gmax_exposure_mode</t>
  </si>
  <si>
    <t>0x01001020</t>
  </si>
  <si>
    <t xml:space="preserve">gmax系列相机系列相机曝光模式寄存器
0:timed
1:trigger width
2:trigger controlled（暂未用到）
</t>
  </si>
  <si>
    <t xml:space="preserve">IF((TriggerMode=1)*(ExposureMode="TriggerWidth"),ROUNDUP(readout_period_time+MAX(TriggerWidthLength,ExposureOverlapTimeMax)-(ExposureOverlapTimeMax-exp_start_dly_line*img_row_time/1000)*(ExposureOverlapTimeMax&gt;ROUNDUP(6*img_row_time/1000,0))),"null")    </t>
  </si>
  <si>
    <t>gmax_overlaptime_max</t>
  </si>
  <si>
    <t>0x01001024</t>
  </si>
  <si>
    <t>电平控制曝光模式下，预期交叠曝光时间控制寄存器,以us为单位</t>
  </si>
  <si>
    <t xml:space="preserve">IF((TriggerMode=1)*(ExposureMode="TriggerWidth"),ROUNDUP(MAX(TriggerWidthLength,ExposureOverlapTimeMax)+exp_end_dly_clk/freq_pix_clk,0),"null")              </t>
  </si>
  <si>
    <t>exp_time_real_length</t>
  </si>
  <si>
    <t>TriggerWidth模式下曝光信号实际长度</t>
  </si>
  <si>
    <t xml:space="preserve">IF((TriggerMode=1)*(ExposureMode="TriggerWidth"),,MAX(TriggerWidthLength,ExposureOverlapTimeMax),"null")        </t>
  </si>
  <si>
    <r>
      <rPr>
        <sz val="11"/>
        <rFont val="宋体"/>
        <family val="3"/>
        <charset val="134"/>
        <scheme val="minor"/>
      </rPr>
      <t>leader长度</t>
    </r>
    <r>
      <rPr>
        <sz val="11"/>
        <rFont val="宋体"/>
        <family val="3"/>
        <charset val="134"/>
        <scheme val="minor"/>
      </rPr>
      <t>（净长）</t>
    </r>
  </si>
  <si>
    <t>大恒专用帧信息，ME2P系列为48byte</t>
  </si>
  <si>
    <t>image_size+chunk_size*chunk_mode_active</t>
  </si>
  <si>
    <t>binning</t>
  </si>
  <si>
    <t>水平binning</t>
  </si>
  <si>
    <t>Horizontal binning</t>
  </si>
  <si>
    <t>垂直binning</t>
  </si>
  <si>
    <t>Vertical binning</t>
  </si>
  <si>
    <t>int(link_speed*(100)*10/100/8</t>
  </si>
  <si>
    <t>ROUNDUP(ROUNDUP(1000000*frame_size/eth_valid_bandwidth_max*10)</t>
  </si>
  <si>
    <t xml:space="preserve">1、Add the frame rate of ME2C-240-48GX(-P). </t>
    <phoneticPr fontId="37" type="noConversion"/>
  </si>
  <si>
    <t>1.0.67</t>
    <phoneticPr fontId="37" type="noConversion"/>
  </si>
  <si>
    <t>2024.04.11</t>
    <phoneticPr fontId="37" type="noConversion"/>
  </si>
  <si>
    <t>1、Add the frame rate of ME2C(MER2)-501-23GX(-P). 
2、Add the frame rate of ME2C-2001-6GX(-P).</t>
    <phoneticPr fontId="3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</si>
</sst>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38">
    <font>
      <sz val="11"/>
      <color theme="1"/>
      <name val="宋体"/>
      <charset val="134"/>
      <scheme val="minor"/>
    </font>
    <font>
      <b/>
      <sz val="11"/>
      <color rgb="FFFFFF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rgb="FFFFFF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0"/>
      <name val="华文细黑"/>
      <family val="3"/>
      <charset val="134"/>
    </font>
    <font>
      <b/>
      <sz val="18"/>
      <color theme="0"/>
      <name val="华文细黑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rgb="FFFFFF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4" tint="-0.249977111117893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rgb="FFFFFF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0"/>
      <name val="华文细黑"/>
      <family val="3"/>
      <charset val="134"/>
    </font>
    <font>
      <b/>
      <sz val="18"/>
      <color theme="0"/>
      <name val="华文细黑"/>
      <family val="3"/>
      <charset val="134"/>
    </font>
    <font>
      <b/>
      <sz val="11"/>
      <color indexed="13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indexed="13"/>
      <name val="宋体"/>
      <family val="3"/>
      <charset val="134"/>
    </font>
    <font>
      <sz val="11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b/>
      <sz val="11"/>
      <color indexed="9"/>
      <name val="华文细黑"/>
      <family val="3"/>
      <charset val="134"/>
    </font>
    <font>
      <b/>
      <sz val="18"/>
      <color indexed="9"/>
      <name val="华文细黑"/>
      <family val="3"/>
      <charset val="134"/>
    </font>
    <font>
      <sz val="10"/>
      <color indexed="63"/>
      <name val="Inherit"/>
      <family val="1"/>
    </font>
    <font>
      <b/>
      <sz val="11"/>
      <color indexed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ＭＳ Ｐゴシック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4" tint="0.3997009186071352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67040009765925"/>
        <bgColor indexed="64"/>
      </patternFill>
    </fill>
    <fill>
      <patternFill patternType="solid">
        <fgColor theme="8" tint="0.39963988158818325"/>
        <bgColor indexed="64"/>
      </patternFill>
    </fill>
    <fill>
      <patternFill patternType="solid">
        <fgColor theme="5" tint="0.39967040009765925"/>
        <bgColor indexed="64"/>
      </patternFill>
    </fill>
    <fill>
      <patternFill patternType="solid">
        <fgColor theme="8" tint="0.39967040009765925"/>
        <bgColor indexed="64"/>
      </patternFill>
    </fill>
    <fill>
      <patternFill patternType="solid">
        <fgColor theme="7" tint="0.39967040009765925"/>
        <bgColor indexed="64"/>
      </patternFill>
    </fill>
    <fill>
      <patternFill patternType="solid">
        <fgColor theme="7" tint="0.39982299264503923"/>
        <bgColor indexed="64"/>
      </patternFill>
    </fill>
    <fill>
      <patternFill patternType="solid">
        <fgColor theme="3" tint="0.39976195562608724"/>
        <bgColor indexed="64"/>
      </patternFill>
    </fill>
    <fill>
      <patternFill patternType="solid">
        <fgColor theme="8" tint="0.39973143711661124"/>
        <bgColor indexed="64"/>
      </patternFill>
    </fill>
    <fill>
      <patternFill patternType="solid">
        <fgColor theme="5" tint="0.39976195562608724"/>
        <bgColor indexed="64"/>
      </patternFill>
    </fill>
    <fill>
      <patternFill patternType="solid">
        <fgColor theme="8" tint="0.39976195562608724"/>
        <bgColor indexed="64"/>
      </patternFill>
    </fill>
    <fill>
      <patternFill patternType="solid">
        <fgColor theme="7" tint="0.39976195562608724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76933C"/>
        <bgColor indexed="64"/>
      </patternFill>
    </fill>
    <fill>
      <patternFill patternType="solid">
        <fgColor theme="3" tint="0.39973143711661124"/>
        <bgColor indexed="64"/>
      </patternFill>
    </fill>
    <fill>
      <patternFill patternType="solid">
        <fgColor theme="8" tint="0.39970091860713525"/>
        <bgColor indexed="64"/>
      </patternFill>
    </fill>
    <fill>
      <patternFill patternType="solid">
        <fgColor theme="5" tint="0.39973143711661124"/>
        <bgColor indexed="64"/>
      </patternFill>
    </fill>
    <fill>
      <patternFill patternType="solid">
        <fgColor theme="7" tint="0.39973143711661124"/>
        <bgColor indexed="64"/>
      </patternFill>
    </fill>
    <fill>
      <patternFill patternType="solid">
        <fgColor theme="6" tint="0.39973143711661124"/>
        <bgColor indexed="64"/>
      </patternFill>
    </fill>
    <fill>
      <patternFill patternType="solid">
        <fgColor theme="3" tint="0.39988402966399123"/>
        <bgColor indexed="64"/>
      </patternFill>
    </fill>
    <fill>
      <patternFill patternType="solid">
        <fgColor theme="8" tint="0.39985351115451523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theme="8" tint="0.39988402966399123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6" tint="0.39988402966399123"/>
        <bgColor indexed="64"/>
      </patternFill>
    </fill>
    <fill>
      <patternFill patternType="solid">
        <fgColor theme="3" tint="0.39991454817346722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theme="3" tint="0.39985351115451523"/>
        <bgColor indexed="64"/>
      </patternFill>
    </fill>
    <fill>
      <patternFill patternType="solid">
        <fgColor theme="8" tint="0.39982299264503923"/>
        <bgColor indexed="64"/>
      </patternFill>
    </fill>
    <fill>
      <patternFill patternType="solid">
        <fgColor theme="7" tint="0.3998535111545152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8CB4E2"/>
        <bgColor indexed="64"/>
      </patternFill>
    </fill>
    <fill>
      <patternFill patternType="solid">
        <fgColor theme="4" tint="0.39957884456923126"/>
        <bgColor indexed="64"/>
      </patternFill>
    </fill>
    <fill>
      <patternFill patternType="solid">
        <fgColor theme="4" tint="0.39973143711661124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9">
    <xf numFmtId="0" fontId="0" fillId="0" borderId="0">
      <alignment vertical="center"/>
    </xf>
    <xf numFmtId="0" fontId="31" fillId="0" borderId="0"/>
    <xf numFmtId="0" fontId="8" fillId="0" borderId="0"/>
    <xf numFmtId="0" fontId="8" fillId="0" borderId="0"/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/>
    <xf numFmtId="0" fontId="32" fillId="0" borderId="0"/>
    <xf numFmtId="0" fontId="8" fillId="0" borderId="0">
      <alignment vertical="center"/>
    </xf>
  </cellStyleXfs>
  <cellXfs count="880">
    <xf numFmtId="0" fontId="0" fillId="0" borderId="0" xfId="0">
      <alignment vertical="center"/>
    </xf>
    <xf numFmtId="0" fontId="0" fillId="0" borderId="0" xfId="0" applyFont="1" applyFill="1" applyAlignment="1"/>
    <xf numFmtId="0" fontId="1" fillId="2" borderId="1" xfId="8" applyFont="1" applyFill="1" applyBorder="1" applyAlignment="1" applyProtection="1">
      <alignment horizontal="left" vertical="center" wrapText="1"/>
    </xf>
    <xf numFmtId="0" fontId="1" fillId="2" borderId="1" xfId="8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Protection="1">
      <alignment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>
      <alignment horizontal="left"/>
    </xf>
    <xf numFmtId="0" fontId="1" fillId="2" borderId="1" xfId="0" applyFont="1" applyFill="1" applyBorder="1" applyAlignment="1" applyProtection="1">
      <alignment horizontal="right" vertical="center" wrapText="1"/>
    </xf>
    <xf numFmtId="0" fontId="0" fillId="0" borderId="0" xfId="0" applyFont="1" applyFill="1" applyAlignment="1" applyProtection="1">
      <protection locked="0"/>
    </xf>
    <xf numFmtId="0" fontId="1" fillId="2" borderId="1" xfId="0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2" fillId="2" borderId="1" xfId="8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176" fontId="2" fillId="2" borderId="1" xfId="0" applyNumberFormat="1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0" fillId="6" borderId="6" xfId="0" applyFont="1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 vertical="center" wrapText="1"/>
    </xf>
    <xf numFmtId="0" fontId="0" fillId="6" borderId="7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left" vertical="center" wrapText="1"/>
    </xf>
    <xf numFmtId="0" fontId="0" fillId="8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8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7" borderId="9" xfId="0" applyFont="1" applyFill="1" applyBorder="1" applyAlignment="1">
      <alignment horizontal="left" vertical="center" wrapText="1"/>
    </xf>
    <xf numFmtId="0" fontId="0" fillId="8" borderId="10" xfId="0" applyFont="1" applyFill="1" applyBorder="1" applyAlignment="1">
      <alignment horizontal="left" vertical="center" wrapText="1"/>
    </xf>
    <xf numFmtId="0" fontId="7" fillId="9" borderId="11" xfId="0" applyFont="1" applyFill="1" applyBorder="1" applyAlignment="1" applyProtection="1">
      <alignment vertical="center"/>
    </xf>
    <xf numFmtId="0" fontId="0" fillId="0" borderId="0" xfId="0" applyFont="1" applyFill="1" applyAlignment="1">
      <alignment horizontal="left" vertical="center" wrapText="1"/>
    </xf>
    <xf numFmtId="0" fontId="0" fillId="6" borderId="6" xfId="0" applyFont="1" applyFill="1" applyBorder="1" applyAlignment="1">
      <alignment vertical="center" wrapText="1"/>
    </xf>
    <xf numFmtId="0" fontId="0" fillId="6" borderId="1" xfId="0" applyFont="1" applyFill="1" applyBorder="1" applyAlignment="1">
      <alignment vertical="center" wrapText="1"/>
    </xf>
    <xf numFmtId="0" fontId="0" fillId="10" borderId="7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2" fontId="4" fillId="11" borderId="1" xfId="0" applyNumberFormat="1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/>
    </xf>
    <xf numFmtId="0" fontId="0" fillId="11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4" fillId="11" borderId="1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1" xfId="3" applyFont="1" applyFill="1" applyBorder="1" applyAlignment="1" applyProtection="1">
      <alignment vertical="center"/>
    </xf>
    <xf numFmtId="0" fontId="4" fillId="0" borderId="1" xfId="3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11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0" fillId="10" borderId="7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6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49" fontId="0" fillId="0" borderId="8" xfId="0" applyNumberFormat="1" applyFont="1" applyFill="1" applyBorder="1" applyAlignment="1">
      <alignment vertical="center" wrapText="1"/>
    </xf>
    <xf numFmtId="49" fontId="5" fillId="0" borderId="8" xfId="0" applyNumberFormat="1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wrapText="1"/>
    </xf>
    <xf numFmtId="0" fontId="0" fillId="0" borderId="12" xfId="0" applyFont="1" applyFill="1" applyBorder="1" applyAlignment="1">
      <alignment horizontal="left" vertical="center" wrapText="1"/>
    </xf>
    <xf numFmtId="0" fontId="0" fillId="11" borderId="1" xfId="0" applyNumberFormat="1" applyFont="1" applyFill="1" applyBorder="1" applyAlignment="1">
      <alignment horizontal="left" vertical="center" wrapText="1"/>
    </xf>
    <xf numFmtId="0" fontId="0" fillId="11" borderId="1" xfId="0" applyFont="1" applyFill="1" applyBorder="1" applyAlignment="1">
      <alignment horizontal="left" vertical="center"/>
    </xf>
    <xf numFmtId="0" fontId="4" fillId="11" borderId="1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/>
    <xf numFmtId="0" fontId="0" fillId="6" borderId="2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11" borderId="9" xfId="0" applyFont="1" applyFill="1" applyBorder="1" applyAlignment="1">
      <alignment horizontal="left" vertical="center" wrapText="1"/>
    </xf>
    <xf numFmtId="0" fontId="4" fillId="8" borderId="10" xfId="0" applyFont="1" applyFill="1" applyBorder="1" applyAlignment="1">
      <alignment horizontal="left" vertical="center" wrapText="1"/>
    </xf>
    <xf numFmtId="0" fontId="4" fillId="11" borderId="18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8" fillId="0" borderId="0" xfId="3" applyAlignment="1">
      <alignment vertical="center"/>
    </xf>
    <xf numFmtId="0" fontId="8" fillId="0" borderId="0" xfId="3"/>
    <xf numFmtId="0" fontId="9" fillId="12" borderId="1" xfId="3" applyFont="1" applyFill="1" applyBorder="1" applyAlignment="1" applyProtection="1">
      <alignment vertical="center"/>
    </xf>
    <xf numFmtId="0" fontId="9" fillId="12" borderId="1" xfId="3" applyFont="1" applyFill="1" applyBorder="1" applyAlignment="1" applyProtection="1">
      <alignment vertical="center"/>
      <protection locked="0"/>
    </xf>
    <xf numFmtId="0" fontId="9" fillId="13" borderId="1" xfId="0" applyFont="1" applyFill="1" applyBorder="1" applyProtection="1">
      <alignment vertical="center"/>
    </xf>
    <xf numFmtId="0" fontId="10" fillId="0" borderId="0" xfId="0" applyFont="1">
      <alignment vertical="center"/>
    </xf>
    <xf numFmtId="0" fontId="10" fillId="0" borderId="0" xfId="3" applyFont="1" applyAlignment="1">
      <alignment vertical="center"/>
    </xf>
    <xf numFmtId="0" fontId="9" fillId="13" borderId="1" xfId="0" applyFont="1" applyFill="1" applyBorder="1" applyProtection="1">
      <alignment vertical="center"/>
      <protection locked="0"/>
    </xf>
    <xf numFmtId="0" fontId="8" fillId="12" borderId="1" xfId="3" applyFill="1" applyBorder="1" applyAlignment="1" applyProtection="1">
      <alignment vertical="center" wrapText="1"/>
    </xf>
    <xf numFmtId="0" fontId="8" fillId="12" borderId="1" xfId="3" applyFill="1" applyBorder="1" applyAlignment="1" applyProtection="1">
      <alignment vertical="center"/>
    </xf>
    <xf numFmtId="0" fontId="0" fillId="13" borderId="1" xfId="0" applyFill="1" applyBorder="1" applyProtection="1">
      <alignment vertical="center"/>
    </xf>
    <xf numFmtId="0" fontId="11" fillId="12" borderId="1" xfId="3" applyFont="1" applyFill="1" applyBorder="1" applyAlignment="1" applyProtection="1">
      <alignment vertical="center"/>
    </xf>
    <xf numFmtId="0" fontId="0" fillId="12" borderId="1" xfId="3" applyFont="1" applyFill="1" applyBorder="1" applyAlignment="1" applyProtection="1">
      <alignment vertical="center"/>
    </xf>
    <xf numFmtId="0" fontId="8" fillId="12" borderId="1" xfId="3" applyFill="1" applyBorder="1" applyAlignment="1" applyProtection="1">
      <alignment horizontal="right" vertical="center"/>
    </xf>
    <xf numFmtId="0" fontId="12" fillId="12" borderId="1" xfId="3" applyFont="1" applyFill="1" applyBorder="1" applyAlignment="1" applyProtection="1">
      <alignment vertical="center"/>
    </xf>
    <xf numFmtId="0" fontId="0" fillId="0" borderId="0" xfId="0" applyFont="1">
      <alignment vertical="center"/>
    </xf>
    <xf numFmtId="0" fontId="8" fillId="0" borderId="0" xfId="4">
      <alignment vertical="center"/>
    </xf>
    <xf numFmtId="0" fontId="0" fillId="13" borderId="1" xfId="0" applyFill="1" applyBorder="1" applyAlignment="1" applyProtection="1">
      <alignment vertical="center" wrapText="1"/>
    </xf>
    <xf numFmtId="0" fontId="12" fillId="13" borderId="1" xfId="0" applyFont="1" applyFill="1" applyBorder="1" applyProtection="1">
      <alignment vertical="center"/>
    </xf>
    <xf numFmtId="0" fontId="0" fillId="0" borderId="0" xfId="0" applyAlignment="1">
      <alignment vertical="center" wrapText="1"/>
    </xf>
    <xf numFmtId="0" fontId="13" fillId="0" borderId="0" xfId="0" applyFont="1">
      <alignment vertical="center"/>
    </xf>
    <xf numFmtId="0" fontId="9" fillId="13" borderId="1" xfId="4" applyFont="1" applyFill="1" applyBorder="1" applyProtection="1">
      <alignment vertical="center"/>
    </xf>
    <xf numFmtId="0" fontId="9" fillId="13" borderId="1" xfId="4" applyFont="1" applyFill="1" applyBorder="1" applyProtection="1">
      <alignment vertical="center"/>
      <protection locked="0"/>
    </xf>
    <xf numFmtId="0" fontId="10" fillId="0" borderId="0" xfId="4" applyFont="1">
      <alignment vertical="center"/>
    </xf>
    <xf numFmtId="0" fontId="8" fillId="13" borderId="1" xfId="4" applyFill="1" applyBorder="1" applyAlignment="1" applyProtection="1">
      <alignment vertical="center" wrapText="1"/>
    </xf>
    <xf numFmtId="0" fontId="0" fillId="13" borderId="1" xfId="4" applyFont="1" applyFill="1" applyBorder="1" applyProtection="1">
      <alignment vertical="center"/>
    </xf>
    <xf numFmtId="0" fontId="8" fillId="13" borderId="1" xfId="4" applyFill="1" applyBorder="1" applyProtection="1">
      <alignment vertical="center"/>
    </xf>
    <xf numFmtId="0" fontId="10" fillId="13" borderId="1" xfId="4" applyFont="1" applyFill="1" applyBorder="1" applyProtection="1">
      <alignment vertical="center"/>
    </xf>
    <xf numFmtId="0" fontId="8" fillId="14" borderId="1" xfId="4" applyFill="1" applyBorder="1" applyProtection="1">
      <alignment vertical="center"/>
    </xf>
    <xf numFmtId="0" fontId="14" fillId="13" borderId="1" xfId="4" applyFont="1" applyFill="1" applyBorder="1" applyProtection="1">
      <alignment vertical="center"/>
    </xf>
    <xf numFmtId="0" fontId="12" fillId="13" borderId="1" xfId="4" applyFont="1" applyFill="1" applyBorder="1" applyProtection="1">
      <alignment vertical="center"/>
    </xf>
    <xf numFmtId="0" fontId="13" fillId="0" borderId="0" xfId="4" applyFont="1">
      <alignment vertical="center"/>
    </xf>
    <xf numFmtId="0" fontId="15" fillId="0" borderId="0" xfId="4" applyFont="1">
      <alignment vertical="center"/>
    </xf>
    <xf numFmtId="0" fontId="0" fillId="13" borderId="1" xfId="0" applyFont="1" applyFill="1" applyBorder="1" applyProtection="1">
      <alignment vertical="center"/>
    </xf>
    <xf numFmtId="0" fontId="10" fillId="13" borderId="1" xfId="0" applyFont="1" applyFill="1" applyBorder="1" applyProtection="1">
      <alignment vertical="center"/>
    </xf>
    <xf numFmtId="0" fontId="0" fillId="14" borderId="1" xfId="0" applyFill="1" applyBorder="1" applyProtection="1">
      <alignment vertical="center"/>
    </xf>
    <xf numFmtId="0" fontId="14" fillId="13" borderId="1" xfId="0" applyFont="1" applyFill="1" applyBorder="1" applyProtection="1">
      <alignment vertical="center"/>
    </xf>
    <xf numFmtId="0" fontId="8" fillId="0" borderId="0" xfId="6" applyAlignment="1">
      <alignment horizontal="left" vertical="center" wrapText="1"/>
    </xf>
    <xf numFmtId="0" fontId="9" fillId="13" borderId="1" xfId="8" applyFont="1" applyFill="1" applyBorder="1" applyAlignment="1" applyProtection="1">
      <alignment horizontal="left" vertical="center" wrapText="1"/>
    </xf>
    <xf numFmtId="0" fontId="9" fillId="13" borderId="1" xfId="0" applyFont="1" applyFill="1" applyBorder="1" applyAlignment="1" applyProtection="1">
      <alignment horizontal="left" vertical="center"/>
    </xf>
    <xf numFmtId="0" fontId="9" fillId="13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6" applyFont="1" applyAlignment="1">
      <alignment horizontal="left" vertical="center"/>
    </xf>
    <xf numFmtId="0" fontId="9" fillId="13" borderId="1" xfId="0" applyFont="1" applyFill="1" applyBorder="1" applyAlignment="1" applyProtection="1">
      <alignment horizontal="left" vertical="center"/>
      <protection locked="0"/>
    </xf>
    <xf numFmtId="0" fontId="9" fillId="13" borderId="1" xfId="4" applyFont="1" applyFill="1" applyBorder="1" applyAlignment="1" applyProtection="1">
      <alignment horizontal="left" vertical="center"/>
      <protection locked="0"/>
    </xf>
    <xf numFmtId="0" fontId="9" fillId="13" borderId="1" xfId="0" applyFont="1" applyFill="1" applyBorder="1" applyAlignment="1" applyProtection="1">
      <alignment horizontal="left" vertical="center" wrapText="1"/>
    </xf>
    <xf numFmtId="0" fontId="12" fillId="13" borderId="1" xfId="8" applyFont="1" applyFill="1" applyBorder="1" applyAlignment="1" applyProtection="1">
      <alignment horizontal="left" vertical="center" wrapText="1"/>
    </xf>
    <xf numFmtId="0" fontId="12" fillId="13" borderId="1" xfId="0" applyFont="1" applyFill="1" applyBorder="1" applyAlignment="1" applyProtection="1">
      <alignment horizontal="left" vertical="center" wrapText="1"/>
    </xf>
    <xf numFmtId="176" fontId="12" fillId="13" borderId="1" xfId="0" applyNumberFormat="1" applyFont="1" applyFill="1" applyBorder="1" applyAlignment="1" applyProtection="1">
      <alignment horizontal="left" vertical="center" wrapText="1"/>
    </xf>
    <xf numFmtId="0" fontId="8" fillId="0" borderId="0" xfId="6"/>
    <xf numFmtId="0" fontId="14" fillId="3" borderId="2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16" borderId="6" xfId="0" applyFont="1" applyFill="1" applyBorder="1" applyAlignment="1">
      <alignment horizontal="left" vertical="center" wrapText="1"/>
    </xf>
    <xf numFmtId="0" fontId="0" fillId="16" borderId="1" xfId="0" applyFont="1" applyFill="1" applyBorder="1" applyAlignment="1">
      <alignment horizontal="left" vertical="center" wrapText="1"/>
    </xf>
    <xf numFmtId="0" fontId="0" fillId="16" borderId="7" xfId="0" applyFont="1" applyFill="1" applyBorder="1" applyAlignment="1">
      <alignment horizontal="left" vertical="center" wrapText="1"/>
    </xf>
    <xf numFmtId="0" fontId="0" fillId="16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17" borderId="1" xfId="0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 wrapText="1"/>
    </xf>
    <xf numFmtId="0" fontId="15" fillId="8" borderId="7" xfId="0" applyFont="1" applyFill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17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0" fillId="0" borderId="0" xfId="0" applyAlignment="1"/>
    <xf numFmtId="0" fontId="15" fillId="0" borderId="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17" borderId="9" xfId="0" applyFill="1" applyBorder="1" applyAlignment="1">
      <alignment horizontal="left" vertical="center" wrapText="1"/>
    </xf>
    <xf numFmtId="0" fontId="0" fillId="8" borderId="10" xfId="0" applyFill="1" applyBorder="1" applyAlignment="1">
      <alignment horizontal="left" vertical="center" wrapText="1"/>
    </xf>
    <xf numFmtId="0" fontId="0" fillId="0" borderId="0" xfId="0" applyFill="1" applyAlignment="1"/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16" borderId="1" xfId="0" applyFont="1" applyFill="1" applyBorder="1" applyAlignment="1">
      <alignment vertical="center" wrapText="1"/>
    </xf>
    <xf numFmtId="0" fontId="0" fillId="18" borderId="7" xfId="0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19" borderId="1" xfId="0" applyFont="1" applyFill="1" applyBorder="1" applyAlignment="1">
      <alignment horizontal="left" vertical="center" wrapText="1"/>
    </xf>
    <xf numFmtId="2" fontId="15" fillId="19" borderId="1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19" borderId="1" xfId="0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/>
    </xf>
    <xf numFmtId="0" fontId="15" fillId="20" borderId="1" xfId="0" applyFont="1" applyFill="1" applyBorder="1" applyAlignment="1">
      <alignment horizontal="left" vertical="center" wrapText="1"/>
    </xf>
    <xf numFmtId="0" fontId="15" fillId="19" borderId="1" xfId="0" applyNumberFormat="1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1" xfId="3" applyFont="1" applyFill="1" applyBorder="1" applyAlignment="1" applyProtection="1">
      <alignment vertical="center"/>
    </xf>
    <xf numFmtId="0" fontId="15" fillId="0" borderId="1" xfId="3" applyFont="1" applyFill="1" applyBorder="1" applyAlignment="1" applyProtection="1">
      <alignment vertical="center" wrapText="1"/>
    </xf>
    <xf numFmtId="0" fontId="15" fillId="0" borderId="12" xfId="3" applyFont="1" applyFill="1" applyBorder="1" applyAlignment="1" applyProtection="1">
      <alignment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19" borderId="12" xfId="0" applyFont="1" applyFill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0" fillId="16" borderId="31" xfId="0" applyFont="1" applyFill="1" applyBorder="1" applyAlignment="1">
      <alignment horizontal="left" vertical="center" wrapText="1"/>
    </xf>
    <xf numFmtId="0" fontId="10" fillId="16" borderId="32" xfId="0" applyFont="1" applyFill="1" applyBorder="1" applyAlignment="1">
      <alignment horizontal="left" vertical="center" wrapText="1"/>
    </xf>
    <xf numFmtId="0" fontId="0" fillId="18" borderId="7" xfId="0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8" borderId="12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8" borderId="0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0" borderId="1" xfId="0" applyFill="1" applyBorder="1" applyAlignment="1">
      <alignment horizontal="left" vertical="center" wrapText="1"/>
    </xf>
    <xf numFmtId="49" fontId="0" fillId="0" borderId="6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8" xfId="0" applyNumberFormat="1" applyFill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49" fontId="15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0" fillId="16" borderId="33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 wrapText="1"/>
    </xf>
    <xf numFmtId="0" fontId="10" fillId="16" borderId="5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8" borderId="13" xfId="0" applyFill="1" applyBorder="1" applyAlignment="1">
      <alignment horizontal="left" vertical="center" wrapText="1"/>
    </xf>
    <xf numFmtId="0" fontId="17" fillId="9" borderId="11" xfId="0" applyFont="1" applyFill="1" applyBorder="1" applyAlignment="1" applyProtection="1">
      <alignment vertical="center"/>
    </xf>
    <xf numFmtId="0" fontId="15" fillId="0" borderId="6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49" fontId="0" fillId="0" borderId="11" xfId="0" applyNumberFormat="1" applyFill="1" applyBorder="1" applyAlignment="1">
      <alignment horizontal="left" vertical="center" wrapText="1"/>
    </xf>
    <xf numFmtId="49" fontId="0" fillId="0" borderId="12" xfId="0" applyNumberFormat="1" applyFill="1" applyBorder="1" applyAlignment="1">
      <alignment horizontal="left" vertical="center" wrapText="1"/>
    </xf>
    <xf numFmtId="0" fontId="0" fillId="19" borderId="1" xfId="0" applyNumberFormat="1" applyFill="1" applyBorder="1" applyAlignment="1">
      <alignment horizontal="left" vertical="center" wrapText="1"/>
    </xf>
    <xf numFmtId="0" fontId="0" fillId="19" borderId="1" xfId="0" applyFill="1" applyBorder="1" applyAlignment="1">
      <alignment horizontal="left" vertical="center"/>
    </xf>
    <xf numFmtId="0" fontId="15" fillId="19" borderId="1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left" vertical="center" wrapText="1"/>
    </xf>
    <xf numFmtId="0" fontId="15" fillId="8" borderId="13" xfId="0" applyFont="1" applyFill="1" applyBorder="1" applyAlignment="1">
      <alignment horizontal="left" vertical="center" wrapText="1"/>
    </xf>
    <xf numFmtId="0" fontId="0" fillId="22" borderId="6" xfId="0" applyFont="1" applyFill="1" applyBorder="1" applyAlignment="1">
      <alignment horizontal="left" vertical="center" wrapText="1"/>
    </xf>
    <xf numFmtId="0" fontId="0" fillId="22" borderId="1" xfId="0" applyFont="1" applyFill="1" applyBorder="1" applyAlignment="1">
      <alignment horizontal="left" vertical="center" wrapText="1"/>
    </xf>
    <xf numFmtId="0" fontId="0" fillId="22" borderId="7" xfId="0" applyFont="1" applyFill="1" applyBorder="1" applyAlignment="1">
      <alignment horizontal="left" vertical="center" wrapText="1"/>
    </xf>
    <xf numFmtId="0" fontId="0" fillId="22" borderId="6" xfId="0" applyFont="1" applyFill="1" applyBorder="1" applyAlignment="1">
      <alignment vertical="center" wrapText="1"/>
    </xf>
    <xf numFmtId="0" fontId="0" fillId="23" borderId="1" xfId="0" applyFill="1" applyBorder="1" applyAlignment="1">
      <alignment horizontal="left" vertical="center" wrapText="1"/>
    </xf>
    <xf numFmtId="0" fontId="15" fillId="23" borderId="1" xfId="0" applyFont="1" applyFill="1" applyBorder="1" applyAlignment="1">
      <alignment horizontal="left" vertical="center" wrapText="1"/>
    </xf>
    <xf numFmtId="0" fontId="0" fillId="23" borderId="9" xfId="0" applyFill="1" applyBorder="1" applyAlignment="1">
      <alignment horizontal="left" vertical="center" wrapText="1"/>
    </xf>
    <xf numFmtId="0" fontId="0" fillId="22" borderId="1" xfId="0" applyFont="1" applyFill="1" applyBorder="1" applyAlignment="1">
      <alignment vertical="center" wrapText="1"/>
    </xf>
    <xf numFmtId="0" fontId="0" fillId="24" borderId="7" xfId="0" applyFill="1" applyBorder="1" applyAlignment="1">
      <alignment vertical="center" wrapText="1"/>
    </xf>
    <xf numFmtId="0" fontId="15" fillId="25" borderId="1" xfId="0" applyFont="1" applyFill="1" applyBorder="1" applyAlignment="1">
      <alignment horizontal="left" vertical="center" wrapText="1"/>
    </xf>
    <xf numFmtId="2" fontId="15" fillId="25" borderId="1" xfId="0" applyNumberFormat="1" applyFont="1" applyFill="1" applyBorder="1" applyAlignment="1">
      <alignment horizontal="left" vertical="center" wrapText="1"/>
    </xf>
    <xf numFmtId="0" fontId="0" fillId="25" borderId="1" xfId="0" applyFill="1" applyBorder="1" applyAlignment="1">
      <alignment horizontal="left" vertical="center" wrapText="1"/>
    </xf>
    <xf numFmtId="0" fontId="15" fillId="25" borderId="1" xfId="0" applyNumberFormat="1" applyFont="1" applyFill="1" applyBorder="1" applyAlignment="1">
      <alignment horizontal="left" vertical="center" wrapText="1"/>
    </xf>
    <xf numFmtId="0" fontId="15" fillId="0" borderId="1" xfId="2" applyFont="1" applyFill="1" applyBorder="1" applyAlignment="1" applyProtection="1">
      <alignment vertical="center"/>
    </xf>
    <xf numFmtId="0" fontId="15" fillId="0" borderId="1" xfId="2" applyFont="1" applyFill="1" applyBorder="1" applyAlignment="1" applyProtection="1">
      <alignment vertical="center" wrapText="1"/>
    </xf>
    <xf numFmtId="0" fontId="15" fillId="0" borderId="12" xfId="2" applyFont="1" applyFill="1" applyBorder="1" applyAlignment="1" applyProtection="1">
      <alignment vertical="center" wrapText="1"/>
    </xf>
    <xf numFmtId="0" fontId="15" fillId="25" borderId="12" xfId="0" applyFont="1" applyFill="1" applyBorder="1" applyAlignment="1">
      <alignment horizontal="left" vertical="center" wrapText="1"/>
    </xf>
    <xf numFmtId="0" fontId="10" fillId="22" borderId="31" xfId="0" applyFont="1" applyFill="1" applyBorder="1" applyAlignment="1">
      <alignment horizontal="left" vertical="center" wrapText="1"/>
    </xf>
    <xf numFmtId="0" fontId="10" fillId="22" borderId="32" xfId="0" applyFont="1" applyFill="1" applyBorder="1" applyAlignment="1">
      <alignment horizontal="left" vertical="center" wrapText="1"/>
    </xf>
    <xf numFmtId="0" fontId="0" fillId="24" borderId="7" xfId="0" applyFill="1" applyBorder="1" applyAlignment="1">
      <alignment horizontal="left" vertical="center" wrapText="1"/>
    </xf>
    <xf numFmtId="0" fontId="10" fillId="22" borderId="33" xfId="0" applyFont="1" applyFill="1" applyBorder="1" applyAlignment="1">
      <alignment horizontal="left" vertical="center" wrapText="1"/>
    </xf>
    <xf numFmtId="0" fontId="10" fillId="22" borderId="5" xfId="0" applyFont="1" applyFill="1" applyBorder="1" applyAlignment="1">
      <alignment horizontal="left" vertical="center" wrapText="1"/>
    </xf>
    <xf numFmtId="0" fontId="0" fillId="25" borderId="1" xfId="0" applyNumberFormat="1" applyFill="1" applyBorder="1" applyAlignment="1">
      <alignment horizontal="left" vertical="center" wrapText="1"/>
    </xf>
    <xf numFmtId="0" fontId="0" fillId="25" borderId="1" xfId="0" applyFill="1" applyBorder="1" applyAlignment="1">
      <alignment horizontal="left" vertical="center"/>
    </xf>
    <xf numFmtId="0" fontId="15" fillId="25" borderId="1" xfId="0" applyFont="1" applyFill="1" applyBorder="1" applyAlignment="1">
      <alignment horizontal="left" vertical="center"/>
    </xf>
    <xf numFmtId="0" fontId="8" fillId="0" borderId="0" xfId="0" applyFont="1">
      <alignment vertical="center"/>
    </xf>
    <xf numFmtId="0" fontId="9" fillId="13" borderId="1" xfId="8" applyFont="1" applyFill="1" applyBorder="1" applyAlignment="1" applyProtection="1">
      <alignment vertical="center"/>
    </xf>
    <xf numFmtId="0" fontId="9" fillId="13" borderId="1" xfId="8" applyFont="1" applyFill="1" applyBorder="1" applyAlignment="1" applyProtection="1">
      <alignment vertical="center"/>
      <protection locked="0"/>
    </xf>
    <xf numFmtId="0" fontId="18" fillId="26" borderId="1" xfId="0" applyNumberFormat="1" applyFont="1" applyFill="1" applyBorder="1" applyAlignment="1" applyProtection="1">
      <alignment vertical="center"/>
    </xf>
    <xf numFmtId="0" fontId="10" fillId="0" borderId="0" xfId="0" applyFont="1" applyProtection="1">
      <alignment vertical="center"/>
      <protection locked="0"/>
    </xf>
    <xf numFmtId="0" fontId="18" fillId="26" borderId="1" xfId="0" applyNumberFormat="1" applyFont="1" applyFill="1" applyBorder="1" applyAlignment="1" applyProtection="1">
      <alignment vertical="center"/>
      <protection locked="0"/>
    </xf>
    <xf numFmtId="0" fontId="12" fillId="13" borderId="1" xfId="8" applyFont="1" applyFill="1" applyBorder="1" applyAlignment="1" applyProtection="1">
      <alignment vertical="center"/>
    </xf>
    <xf numFmtId="176" fontId="12" fillId="13" borderId="1" xfId="0" applyNumberFormat="1" applyFont="1" applyFill="1" applyBorder="1" applyProtection="1">
      <alignment vertical="center"/>
    </xf>
    <xf numFmtId="176" fontId="0" fillId="0" borderId="0" xfId="0" applyNumberFormat="1" applyAlignment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/>
    </xf>
    <xf numFmtId="0" fontId="19" fillId="26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 wrapText="1"/>
    </xf>
    <xf numFmtId="0" fontId="21" fillId="27" borderId="2" xfId="0" applyNumberFormat="1" applyFont="1" applyFill="1" applyBorder="1" applyAlignment="1" applyProtection="1">
      <alignment vertical="center" wrapText="1"/>
    </xf>
    <xf numFmtId="0" fontId="21" fillId="28" borderId="2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21" fillId="27" borderId="38" xfId="0" applyNumberFormat="1" applyFont="1" applyFill="1" applyBorder="1" applyAlignment="1" applyProtection="1">
      <alignment vertical="center" wrapText="1"/>
    </xf>
    <xf numFmtId="0" fontId="21" fillId="27" borderId="39" xfId="0" applyNumberFormat="1" applyFont="1" applyFill="1" applyBorder="1" applyAlignment="1" applyProtection="1">
      <alignment vertical="center" wrapText="1"/>
    </xf>
    <xf numFmtId="0" fontId="21" fillId="28" borderId="21" xfId="0" applyNumberFormat="1" applyFont="1" applyFill="1" applyBorder="1" applyAlignment="1" applyProtection="1">
      <alignment horizontal="left" vertical="center" wrapText="1"/>
    </xf>
    <xf numFmtId="0" fontId="19" fillId="30" borderId="6" xfId="0" applyNumberFormat="1" applyFont="1" applyFill="1" applyBorder="1" applyAlignment="1" applyProtection="1">
      <alignment horizontal="left" vertical="center" wrapText="1"/>
    </xf>
    <xf numFmtId="0" fontId="19" fillId="30" borderId="1" xfId="0" applyNumberFormat="1" applyFont="1" applyFill="1" applyBorder="1" applyAlignment="1" applyProtection="1">
      <alignment horizontal="left" vertical="center" wrapText="1"/>
    </xf>
    <xf numFmtId="0" fontId="19" fillId="30" borderId="7" xfId="0" applyNumberFormat="1" applyFont="1" applyFill="1" applyBorder="1" applyAlignment="1" applyProtection="1">
      <alignment horizontal="left" vertical="center" wrapText="1"/>
    </xf>
    <xf numFmtId="0" fontId="22" fillId="0" borderId="6" xfId="0" applyNumberFormat="1" applyFont="1" applyFill="1" applyBorder="1" applyAlignment="1" applyProtection="1">
      <alignment horizontal="left" vertical="center" wrapText="1"/>
    </xf>
    <xf numFmtId="0" fontId="22" fillId="0" borderId="1" xfId="0" applyNumberFormat="1" applyFont="1" applyFill="1" applyBorder="1" applyAlignment="1" applyProtection="1">
      <alignment horizontal="left" vertical="center" wrapText="1"/>
    </xf>
    <xf numFmtId="0" fontId="22" fillId="31" borderId="1" xfId="0" applyNumberFormat="1" applyFont="1" applyFill="1" applyBorder="1" applyAlignment="1" applyProtection="1">
      <alignment horizontal="left" vertical="center" wrapText="1"/>
    </xf>
    <xf numFmtId="0" fontId="22" fillId="32" borderId="7" xfId="0" applyNumberFormat="1" applyFont="1" applyFill="1" applyBorder="1" applyAlignment="1" applyProtection="1">
      <alignment horizontal="left" vertical="center" wrapText="1"/>
    </xf>
    <xf numFmtId="0" fontId="23" fillId="0" borderId="1" xfId="0" applyNumberFormat="1" applyFont="1" applyFill="1" applyBorder="1" applyAlignment="1" applyProtection="1">
      <alignment horizontal="left" vertical="center" wrapText="1"/>
    </xf>
    <xf numFmtId="0" fontId="22" fillId="32" borderId="1" xfId="0" applyNumberFormat="1" applyFont="1" applyFill="1" applyBorder="1" applyAlignment="1" applyProtection="1">
      <alignment horizontal="left" vertical="center" wrapText="1"/>
    </xf>
    <xf numFmtId="0" fontId="19" fillId="0" borderId="6" xfId="0" applyNumberFormat="1" applyFont="1" applyFill="1" applyBorder="1" applyAlignment="1" applyProtection="1">
      <alignment horizontal="left" vertical="center" wrapText="1"/>
    </xf>
    <xf numFmtId="0" fontId="19" fillId="0" borderId="1" xfId="0" applyNumberFormat="1" applyFont="1" applyFill="1" applyBorder="1" applyAlignment="1" applyProtection="1">
      <alignment horizontal="left" vertical="center" wrapText="1"/>
    </xf>
    <xf numFmtId="0" fontId="22" fillId="32" borderId="28" xfId="0" applyNumberFormat="1" applyFont="1" applyFill="1" applyBorder="1" applyAlignment="1" applyProtection="1">
      <alignment horizontal="left" vertical="center" wrapText="1"/>
    </xf>
    <xf numFmtId="0" fontId="22" fillId="0" borderId="41" xfId="0" applyNumberFormat="1" applyFont="1" applyFill="1" applyBorder="1" applyAlignment="1" applyProtection="1">
      <alignment horizontal="left" vertical="center" wrapText="1"/>
    </xf>
    <xf numFmtId="0" fontId="22" fillId="0" borderId="6" xfId="0" applyNumberFormat="1" applyFont="1" applyFill="1" applyBorder="1" applyAlignment="1" applyProtection="1">
      <alignment vertical="center" wrapText="1"/>
    </xf>
    <xf numFmtId="0" fontId="22" fillId="0" borderId="1" xfId="0" applyNumberFormat="1" applyFont="1" applyFill="1" applyBorder="1" applyAlignment="1" applyProtection="1">
      <alignment vertical="center"/>
    </xf>
    <xf numFmtId="0" fontId="22" fillId="0" borderId="1" xfId="0" applyNumberFormat="1" applyFont="1" applyFill="1" applyBorder="1" applyAlignment="1" applyProtection="1">
      <alignment horizontal="left" vertical="center"/>
    </xf>
    <xf numFmtId="0" fontId="22" fillId="0" borderId="1" xfId="0" applyNumberFormat="1" applyFont="1" applyFill="1" applyBorder="1" applyAlignment="1" applyProtection="1">
      <alignment vertical="center" wrapText="1"/>
    </xf>
    <xf numFmtId="0" fontId="22" fillId="0" borderId="11" xfId="0" applyNumberFormat="1" applyFont="1" applyFill="1" applyBorder="1" applyAlignment="1" applyProtection="1">
      <alignment vertical="center" wrapText="1"/>
    </xf>
    <xf numFmtId="0" fontId="22" fillId="0" borderId="12" xfId="0" applyNumberFormat="1" applyFont="1" applyFill="1" applyBorder="1" applyAlignment="1" applyProtection="1">
      <alignment vertical="center" wrapText="1"/>
    </xf>
    <xf numFmtId="0" fontId="24" fillId="0" borderId="0" xfId="0" applyFont="1" applyAlignment="1">
      <alignment horizontal="left" vertical="center" wrapText="1"/>
    </xf>
    <xf numFmtId="0" fontId="19" fillId="30" borderId="1" xfId="0" applyNumberFormat="1" applyFont="1" applyFill="1" applyBorder="1" applyAlignment="1" applyProtection="1">
      <alignment vertical="center" wrapText="1"/>
    </xf>
    <xf numFmtId="0" fontId="19" fillId="30" borderId="7" xfId="0" applyNumberFormat="1" applyFont="1" applyFill="1" applyBorder="1" applyAlignment="1" applyProtection="1">
      <alignment vertical="center" wrapText="1"/>
    </xf>
    <xf numFmtId="177" fontId="22" fillId="33" borderId="1" xfId="0" applyNumberFormat="1" applyFont="1" applyFill="1" applyBorder="1" applyAlignment="1" applyProtection="1">
      <alignment horizontal="left" vertical="center" wrapText="1"/>
    </xf>
    <xf numFmtId="0" fontId="22" fillId="0" borderId="7" xfId="0" applyNumberFormat="1" applyFont="1" applyFill="1" applyBorder="1" applyAlignment="1" applyProtection="1">
      <alignment horizontal="left" vertical="center" wrapText="1"/>
    </xf>
    <xf numFmtId="0" fontId="19" fillId="33" borderId="1" xfId="0" applyNumberFormat="1" applyFont="1" applyFill="1" applyBorder="1" applyAlignment="1" applyProtection="1">
      <alignment horizontal="left" vertical="center" wrapText="1"/>
    </xf>
    <xf numFmtId="0" fontId="22" fillId="33" borderId="1" xfId="0" applyNumberFormat="1" applyFont="1" applyFill="1" applyBorder="1" applyAlignment="1" applyProtection="1">
      <alignment horizontal="left" vertical="center" wrapText="1"/>
    </xf>
    <xf numFmtId="0" fontId="23" fillId="0" borderId="6" xfId="0" applyNumberFormat="1" applyFont="1" applyFill="1" applyBorder="1" applyAlignment="1" applyProtection="1">
      <alignment horizontal="left" vertical="center" wrapText="1"/>
    </xf>
    <xf numFmtId="0" fontId="23" fillId="33" borderId="1" xfId="0" applyNumberFormat="1" applyFont="1" applyFill="1" applyBorder="1" applyAlignment="1" applyProtection="1">
      <alignment horizontal="left" vertical="center" wrapText="1"/>
    </xf>
    <xf numFmtId="0" fontId="22" fillId="0" borderId="7" xfId="0" applyNumberFormat="1" applyFont="1" applyFill="1" applyBorder="1" applyAlignment="1" applyProtection="1">
      <alignment horizontal="left" vertical="center"/>
    </xf>
    <xf numFmtId="0" fontId="19" fillId="14" borderId="6" xfId="0" applyNumberFormat="1" applyFont="1" applyFill="1" applyBorder="1" applyAlignment="1" applyProtection="1">
      <alignment horizontal="left" vertical="center" wrapText="1"/>
    </xf>
    <xf numFmtId="0" fontId="19" fillId="14" borderId="1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33" borderId="12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22" fillId="30" borderId="31" xfId="0" applyNumberFormat="1" applyFont="1" applyFill="1" applyBorder="1" applyAlignment="1" applyProtection="1">
      <alignment horizontal="left" vertical="center" wrapText="1"/>
    </xf>
    <xf numFmtId="0" fontId="22" fillId="30" borderId="32" xfId="0" applyNumberFormat="1" applyFont="1" applyFill="1" applyBorder="1" applyAlignment="1" applyProtection="1">
      <alignment horizontal="left" vertical="center" wrapText="1"/>
    </xf>
    <xf numFmtId="0" fontId="22" fillId="32" borderId="6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horizontal="left" vertical="center" wrapText="1"/>
    </xf>
    <xf numFmtId="0" fontId="23" fillId="0" borderId="7" xfId="0" applyNumberFormat="1" applyFont="1" applyFill="1" applyBorder="1" applyAlignment="1" applyProtection="1">
      <alignment horizontal="left" vertical="center" wrapText="1"/>
    </xf>
    <xf numFmtId="0" fontId="23" fillId="32" borderId="1" xfId="0" applyNumberFormat="1" applyFont="1" applyFill="1" applyBorder="1" applyAlignment="1" applyProtection="1">
      <alignment horizontal="left" vertical="center" wrapText="1"/>
    </xf>
    <xf numFmtId="0" fontId="22" fillId="32" borderId="11" xfId="0" applyNumberFormat="1" applyFont="1" applyFill="1" applyBorder="1" applyAlignment="1" applyProtection="1">
      <alignment horizontal="left" vertical="center" wrapText="1"/>
    </xf>
    <xf numFmtId="0" fontId="22" fillId="32" borderId="12" xfId="0" applyNumberFormat="1" applyFont="1" applyFill="1" applyBorder="1" applyAlignment="1" applyProtection="1">
      <alignment horizontal="left" vertical="center" wrapText="1"/>
    </xf>
    <xf numFmtId="0" fontId="23" fillId="32" borderId="12" xfId="0" applyNumberFormat="1" applyFont="1" applyFill="1" applyBorder="1" applyAlignment="1" applyProtection="1">
      <alignment horizontal="left" vertical="center" wrapText="1"/>
    </xf>
    <xf numFmtId="0" fontId="19" fillId="14" borderId="7" xfId="0" applyNumberFormat="1" applyFont="1" applyFill="1" applyBorder="1" applyAlignment="1" applyProtection="1">
      <alignment horizontal="left" vertical="center" wrapText="1"/>
    </xf>
    <xf numFmtId="49" fontId="19" fillId="0" borderId="0" xfId="0" applyNumberFormat="1" applyFont="1" applyFill="1" applyBorder="1" applyAlignment="1" applyProtection="1">
      <alignment horizontal="left" vertical="center" wrapText="1"/>
    </xf>
    <xf numFmtId="0" fontId="19" fillId="30" borderId="32" xfId="0" applyNumberFormat="1" applyFont="1" applyFill="1" applyBorder="1" applyAlignment="1" applyProtection="1">
      <alignment horizontal="left" vertical="center" wrapText="1"/>
    </xf>
    <xf numFmtId="0" fontId="22" fillId="30" borderId="40" xfId="0" applyNumberFormat="1" applyFont="1" applyFill="1" applyBorder="1" applyAlignment="1" applyProtection="1">
      <alignment horizontal="left" vertical="center" wrapText="1"/>
    </xf>
    <xf numFmtId="0" fontId="23" fillId="14" borderId="1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22" fillId="32" borderId="22" xfId="0" applyNumberFormat="1" applyFont="1" applyFill="1" applyBorder="1" applyAlignment="1" applyProtection="1">
      <alignment horizontal="left" vertical="center" wrapText="1"/>
    </xf>
    <xf numFmtId="0" fontId="23" fillId="14" borderId="12" xfId="0" applyNumberFormat="1" applyFont="1" applyFill="1" applyBorder="1" applyAlignment="1" applyProtection="1">
      <alignment horizontal="left" vertical="center" wrapText="1"/>
    </xf>
    <xf numFmtId="0" fontId="22" fillId="32" borderId="36" xfId="0" applyNumberFormat="1" applyFont="1" applyFill="1" applyBorder="1" applyAlignment="1" applyProtection="1">
      <alignment horizontal="left" vertical="center" wrapText="1"/>
    </xf>
    <xf numFmtId="0" fontId="22" fillId="30" borderId="5" xfId="0" applyNumberFormat="1" applyFont="1" applyFill="1" applyBorder="1" applyAlignment="1" applyProtection="1">
      <alignment horizontal="left" vertical="center" wrapText="1"/>
    </xf>
    <xf numFmtId="0" fontId="22" fillId="32" borderId="13" xfId="0" applyNumberFormat="1" applyFont="1" applyFill="1" applyBorder="1" applyAlignment="1" applyProtection="1">
      <alignment horizontal="left" vertical="center" wrapText="1"/>
    </xf>
    <xf numFmtId="0" fontId="22" fillId="0" borderId="8" xfId="0" applyNumberFormat="1" applyFont="1" applyFill="1" applyBorder="1" applyAlignment="1" applyProtection="1">
      <alignment vertical="center" wrapText="1"/>
    </xf>
    <xf numFmtId="0" fontId="22" fillId="0" borderId="9" xfId="0" applyNumberFormat="1" applyFont="1" applyFill="1" applyBorder="1" applyAlignment="1" applyProtection="1">
      <alignment vertical="center" wrapText="1"/>
    </xf>
    <xf numFmtId="0" fontId="26" fillId="35" borderId="11" xfId="0" applyNumberFormat="1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>
      <alignment horizontal="left" vertical="center"/>
    </xf>
    <xf numFmtId="0" fontId="22" fillId="0" borderId="9" xfId="0" applyNumberFormat="1" applyFont="1" applyFill="1" applyBorder="1" applyAlignment="1" applyProtection="1">
      <alignment horizontal="left" vertical="center" wrapText="1"/>
    </xf>
    <xf numFmtId="0" fontId="22" fillId="33" borderId="9" xfId="0" applyNumberFormat="1" applyFont="1" applyFill="1" applyBorder="1" applyAlignment="1" applyProtection="1">
      <alignment horizontal="left" vertical="center" wrapText="1"/>
    </xf>
    <xf numFmtId="0" fontId="22" fillId="0" borderId="1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/>
    </xf>
    <xf numFmtId="0" fontId="19" fillId="33" borderId="1" xfId="0" applyNumberFormat="1" applyFont="1" applyFill="1" applyBorder="1" applyAlignment="1" applyProtection="1">
      <alignment horizontal="left" vertical="center"/>
    </xf>
    <xf numFmtId="0" fontId="22" fillId="33" borderId="1" xfId="0" applyNumberFormat="1" applyFont="1" applyFill="1" applyBorder="1" applyAlignment="1" applyProtection="1">
      <alignment horizontal="left" vertical="center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49" fontId="23" fillId="0" borderId="6" xfId="0" applyNumberFormat="1" applyFont="1" applyFill="1" applyBorder="1" applyAlignment="1" applyProtection="1">
      <alignment horizontal="left" vertical="center" wrapText="1"/>
    </xf>
    <xf numFmtId="49" fontId="28" fillId="0" borderId="6" xfId="0" applyNumberFormat="1" applyFont="1" applyFill="1" applyBorder="1" applyAlignment="1" applyProtection="1">
      <alignment horizontal="left" vertical="center" wrapText="1"/>
    </xf>
    <xf numFmtId="0" fontId="28" fillId="0" borderId="1" xfId="0" applyNumberFormat="1" applyFont="1" applyFill="1" applyBorder="1" applyAlignment="1" applyProtection="1">
      <alignment horizontal="left" vertical="center" wrapText="1"/>
    </xf>
    <xf numFmtId="0" fontId="22" fillId="34" borderId="33" xfId="0" applyNumberFormat="1" applyFont="1" applyFill="1" applyBorder="1" applyAlignment="1" applyProtection="1">
      <alignment horizontal="left" vertical="center" wrapText="1"/>
    </xf>
    <xf numFmtId="49" fontId="22" fillId="0" borderId="6" xfId="0" applyNumberFormat="1" applyFont="1" applyFill="1" applyBorder="1" applyAlignment="1" applyProtection="1">
      <alignment horizontal="left" vertical="center" wrapText="1"/>
    </xf>
    <xf numFmtId="49" fontId="22" fillId="0" borderId="11" xfId="0" applyNumberFormat="1" applyFont="1" applyFill="1" applyBorder="1" applyAlignment="1" applyProtection="1">
      <alignment horizontal="left" vertical="center" wrapText="1"/>
    </xf>
    <xf numFmtId="0" fontId="23" fillId="0" borderId="12" xfId="0" applyNumberFormat="1" applyFont="1" applyFill="1" applyBorder="1" applyAlignment="1" applyProtection="1">
      <alignment horizontal="left" vertical="center" wrapText="1"/>
    </xf>
    <xf numFmtId="0" fontId="22" fillId="34" borderId="34" xfId="0" applyNumberFormat="1" applyFont="1" applyFill="1" applyBorder="1" applyAlignment="1" applyProtection="1">
      <alignment horizontal="left" vertical="center" wrapText="1"/>
    </xf>
    <xf numFmtId="49" fontId="23" fillId="0" borderId="11" xfId="0" applyNumberFormat="1" applyFont="1" applyFill="1" applyBorder="1" applyAlignment="1" applyProtection="1">
      <alignment horizontal="left" vertical="center" wrapText="1"/>
    </xf>
    <xf numFmtId="0" fontId="23" fillId="33" borderId="12" xfId="0" applyNumberFormat="1" applyFont="1" applyFill="1" applyBorder="1" applyAlignment="1" applyProtection="1">
      <alignment horizontal="left" vertical="center" wrapText="1"/>
    </xf>
    <xf numFmtId="0" fontId="23" fillId="34" borderId="34" xfId="0" applyNumberFormat="1" applyFont="1" applyFill="1" applyBorder="1" applyAlignment="1" applyProtection="1">
      <alignment horizontal="left" vertical="center" wrapText="1"/>
    </xf>
    <xf numFmtId="0" fontId="9" fillId="13" borderId="1" xfId="8" applyFont="1" applyFill="1" applyBorder="1" applyAlignment="1" applyProtection="1">
      <alignment horizontal="left" vertical="center" wrapText="1"/>
      <protection locked="0"/>
    </xf>
    <xf numFmtId="0" fontId="9" fillId="0" borderId="0" xfId="8" applyFont="1" applyFill="1" applyBorder="1" applyAlignment="1" applyProtection="1">
      <alignment horizontal="left" vertical="center" wrapText="1"/>
      <protection locked="0"/>
    </xf>
    <xf numFmtId="0" fontId="9" fillId="0" borderId="0" xfId="4" applyFont="1" applyFill="1" applyBorder="1" applyAlignment="1" applyProtection="1">
      <alignment horizontal="left" vertical="center" wrapText="1"/>
      <protection locked="0"/>
    </xf>
    <xf numFmtId="0" fontId="9" fillId="0" borderId="0" xfId="4" applyFont="1" applyFill="1" applyBorder="1" applyAlignment="1" applyProtection="1">
      <alignment horizontal="left" vertical="center" wrapText="1"/>
    </xf>
    <xf numFmtId="0" fontId="12" fillId="0" borderId="0" xfId="4" applyFont="1" applyFill="1" applyBorder="1" applyAlignment="1" applyProtection="1">
      <alignment horizontal="left" vertical="center" wrapText="1"/>
    </xf>
    <xf numFmtId="176" fontId="12" fillId="0" borderId="0" xfId="4" applyNumberFormat="1" applyFont="1" applyFill="1" applyBorder="1" applyAlignment="1" applyProtection="1">
      <alignment horizontal="left" vertical="center" wrapText="1"/>
    </xf>
    <xf numFmtId="0" fontId="14" fillId="3" borderId="38" xfId="6" applyFont="1" applyFill="1" applyBorder="1" applyAlignment="1">
      <alignment vertical="center" wrapText="1"/>
    </xf>
    <xf numFmtId="0" fontId="14" fillId="3" borderId="39" xfId="6" applyFont="1" applyFill="1" applyBorder="1" applyAlignment="1">
      <alignment vertical="center" wrapText="1"/>
    </xf>
    <xf numFmtId="0" fontId="14" fillId="4" borderId="21" xfId="6" applyFont="1" applyFill="1" applyBorder="1" applyAlignment="1">
      <alignment horizontal="left" vertical="center" wrapText="1"/>
    </xf>
    <xf numFmtId="0" fontId="0" fillId="37" borderId="1" xfId="6" applyFont="1" applyFill="1" applyBorder="1" applyAlignment="1">
      <alignment horizontal="left" vertical="center" wrapText="1"/>
    </xf>
    <xf numFmtId="0" fontId="0" fillId="37" borderId="7" xfId="6" applyFont="1" applyFill="1" applyBorder="1" applyAlignment="1">
      <alignment horizontal="left" vertical="center" wrapText="1"/>
    </xf>
    <xf numFmtId="0" fontId="15" fillId="0" borderId="1" xfId="6" applyFont="1" applyBorder="1" applyAlignment="1">
      <alignment horizontal="left" vertical="center" wrapText="1"/>
    </xf>
    <xf numFmtId="0" fontId="15" fillId="38" borderId="1" xfId="6" applyFont="1" applyFill="1" applyBorder="1" applyAlignment="1">
      <alignment horizontal="left" vertical="center" wrapText="1"/>
    </xf>
    <xf numFmtId="0" fontId="15" fillId="8" borderId="7" xfId="6" applyFont="1" applyFill="1" applyBorder="1" applyAlignment="1">
      <alignment horizontal="left" vertical="center" wrapText="1"/>
    </xf>
    <xf numFmtId="0" fontId="15" fillId="0" borderId="6" xfId="6" applyFont="1" applyBorder="1" applyAlignment="1">
      <alignment horizontal="left" vertical="center" wrapText="1"/>
    </xf>
    <xf numFmtId="0" fontId="15" fillId="8" borderId="28" xfId="6" applyFont="1" applyFill="1" applyBorder="1" applyAlignment="1">
      <alignment horizontal="left" vertical="center" wrapText="1"/>
    </xf>
    <xf numFmtId="0" fontId="15" fillId="0" borderId="1" xfId="6" applyFont="1" applyBorder="1" applyAlignment="1">
      <alignment horizontal="left" vertical="center"/>
    </xf>
    <xf numFmtId="0" fontId="15" fillId="0" borderId="1" xfId="6" applyFont="1" applyFill="1" applyBorder="1" applyAlignment="1">
      <alignment horizontal="left" vertical="center" wrapText="1"/>
    </xf>
    <xf numFmtId="0" fontId="0" fillId="37" borderId="6" xfId="6" applyFont="1" applyFill="1" applyBorder="1" applyAlignment="1">
      <alignment horizontal="left" vertical="center" wrapText="1"/>
    </xf>
    <xf numFmtId="0" fontId="0" fillId="37" borderId="1" xfId="6" applyFont="1" applyFill="1" applyBorder="1" applyAlignment="1">
      <alignment vertical="center" wrapText="1"/>
    </xf>
    <xf numFmtId="0" fontId="8" fillId="22" borderId="7" xfId="6" applyFill="1" applyBorder="1" applyAlignment="1">
      <alignment vertical="center" wrapText="1"/>
    </xf>
    <xf numFmtId="0" fontId="15" fillId="0" borderId="1" xfId="6" applyFont="1" applyBorder="1" applyAlignment="1">
      <alignment vertical="center" wrapText="1"/>
    </xf>
    <xf numFmtId="177" fontId="15" fillId="39" borderId="1" xfId="6" applyNumberFormat="1" applyFont="1" applyFill="1" applyBorder="1" applyAlignment="1">
      <alignment horizontal="left" vertical="center" wrapText="1"/>
    </xf>
    <xf numFmtId="0" fontId="15" fillId="0" borderId="7" xfId="6" applyFont="1" applyBorder="1" applyAlignment="1">
      <alignment horizontal="left" vertical="center" wrapText="1"/>
    </xf>
    <xf numFmtId="0" fontId="8" fillId="0" borderId="6" xfId="6" applyFill="1" applyBorder="1" applyAlignment="1">
      <alignment horizontal="left" vertical="center" wrapText="1"/>
    </xf>
    <xf numFmtId="0" fontId="8" fillId="0" borderId="1" xfId="6" applyFill="1" applyBorder="1" applyAlignment="1">
      <alignment horizontal="left" vertical="center" wrapText="1"/>
    </xf>
    <xf numFmtId="0" fontId="15" fillId="39" borderId="1" xfId="6" applyFont="1" applyFill="1" applyBorder="1" applyAlignment="1">
      <alignment horizontal="left" vertical="center" wrapText="1"/>
    </xf>
    <xf numFmtId="0" fontId="8" fillId="0" borderId="6" xfId="6" applyBorder="1" applyAlignment="1">
      <alignment horizontal="left" vertical="center" wrapText="1"/>
    </xf>
    <xf numFmtId="0" fontId="8" fillId="0" borderId="1" xfId="6" applyBorder="1" applyAlignment="1">
      <alignment horizontal="left" vertical="center" wrapText="1"/>
    </xf>
    <xf numFmtId="0" fontId="0" fillId="0" borderId="6" xfId="6" applyFont="1" applyBorder="1" applyAlignment="1">
      <alignment horizontal="left" vertical="center" wrapText="1"/>
    </xf>
    <xf numFmtId="0" fontId="0" fillId="0" borderId="1" xfId="6" applyFont="1" applyBorder="1" applyAlignment="1">
      <alignment horizontal="left" vertical="center" wrapText="1"/>
    </xf>
    <xf numFmtId="0" fontId="15" fillId="0" borderId="7" xfId="6" applyFont="1" applyBorder="1" applyAlignment="1">
      <alignment horizontal="left" vertical="center"/>
    </xf>
    <xf numFmtId="0" fontId="15" fillId="0" borderId="6" xfId="6" applyFont="1" applyFill="1" applyBorder="1" applyAlignment="1">
      <alignment horizontal="left" vertical="center" wrapText="1"/>
    </xf>
    <xf numFmtId="0" fontId="10" fillId="0" borderId="1" xfId="6" applyFont="1" applyBorder="1" applyAlignment="1">
      <alignment horizontal="left" vertical="center" wrapText="1"/>
    </xf>
    <xf numFmtId="0" fontId="10" fillId="39" borderId="1" xfId="6" applyFont="1" applyFill="1" applyBorder="1" applyAlignment="1">
      <alignment horizontal="left" vertical="center" wrapText="1"/>
    </xf>
    <xf numFmtId="0" fontId="15" fillId="39" borderId="1" xfId="6" applyNumberFormat="1" applyFont="1" applyFill="1" applyBorder="1" applyAlignment="1">
      <alignment horizontal="left" vertical="center" wrapText="1"/>
    </xf>
    <xf numFmtId="0" fontId="15" fillId="0" borderId="6" xfId="6" applyFont="1" applyBorder="1" applyAlignment="1">
      <alignment vertical="center" wrapText="1"/>
    </xf>
    <xf numFmtId="0" fontId="15" fillId="0" borderId="11" xfId="6" applyFont="1" applyBorder="1" applyAlignment="1">
      <alignment vertical="center" wrapText="1"/>
    </xf>
    <xf numFmtId="0" fontId="15" fillId="0" borderId="12" xfId="6" applyFont="1" applyBorder="1" applyAlignment="1">
      <alignment horizontal="left" vertical="center" wrapText="1"/>
    </xf>
    <xf numFmtId="0" fontId="15" fillId="39" borderId="12" xfId="6" applyFont="1" applyFill="1" applyBorder="1" applyAlignment="1">
      <alignment horizontal="left" vertical="center" wrapText="1"/>
    </xf>
    <xf numFmtId="0" fontId="15" fillId="0" borderId="13" xfId="6" applyFont="1" applyBorder="1" applyAlignment="1">
      <alignment horizontal="left" vertical="center" wrapText="1"/>
    </xf>
    <xf numFmtId="0" fontId="15" fillId="37" borderId="31" xfId="6" applyFont="1" applyFill="1" applyBorder="1" applyAlignment="1">
      <alignment horizontal="left" vertical="center" wrapText="1"/>
    </xf>
    <xf numFmtId="0" fontId="15" fillId="37" borderId="32" xfId="6" applyFont="1" applyFill="1" applyBorder="1" applyAlignment="1">
      <alignment horizontal="left" vertical="center" wrapText="1"/>
    </xf>
    <xf numFmtId="0" fontId="8" fillId="22" borderId="7" xfId="6" applyFill="1" applyBorder="1" applyAlignment="1">
      <alignment horizontal="left" vertical="center" wrapText="1"/>
    </xf>
    <xf numFmtId="0" fontId="10" fillId="8" borderId="6" xfId="6" applyFont="1" applyFill="1" applyBorder="1" applyAlignment="1">
      <alignment horizontal="left" vertical="center" wrapText="1"/>
    </xf>
    <xf numFmtId="0" fontId="8" fillId="39" borderId="1" xfId="6" applyFill="1" applyBorder="1" applyAlignment="1">
      <alignment horizontal="left" vertical="center" wrapText="1"/>
    </xf>
    <xf numFmtId="0" fontId="8" fillId="0" borderId="7" xfId="6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0" fillId="39" borderId="1" xfId="6" applyFont="1" applyFill="1" applyBorder="1" applyAlignment="1">
      <alignment horizontal="left" vertical="center" wrapText="1"/>
    </xf>
    <xf numFmtId="0" fontId="8" fillId="0" borderId="7" xfId="6" applyFill="1" applyBorder="1" applyAlignment="1">
      <alignment horizontal="left" vertical="center" wrapText="1"/>
    </xf>
    <xf numFmtId="0" fontId="8" fillId="0" borderId="0" xfId="6" applyBorder="1" applyAlignment="1">
      <alignment horizontal="left" vertical="center" wrapText="1"/>
    </xf>
    <xf numFmtId="49" fontId="8" fillId="0" borderId="0" xfId="6" applyNumberFormat="1" applyFill="1" applyBorder="1" applyAlignment="1">
      <alignment horizontal="left" vertical="center" wrapText="1"/>
    </xf>
    <xf numFmtId="49" fontId="15" fillId="0" borderId="6" xfId="6" applyNumberFormat="1" applyFont="1" applyFill="1" applyBorder="1" applyAlignment="1">
      <alignment horizontal="left" vertical="center" wrapText="1"/>
    </xf>
    <xf numFmtId="0" fontId="8" fillId="39" borderId="1" xfId="6" applyNumberFormat="1" applyFill="1" applyBorder="1" applyAlignment="1">
      <alignment horizontal="left" vertical="center" wrapText="1"/>
    </xf>
    <xf numFmtId="0" fontId="8" fillId="39" borderId="1" xfId="6" applyFill="1" applyBorder="1" applyAlignment="1">
      <alignment horizontal="left" vertical="center"/>
    </xf>
    <xf numFmtId="49" fontId="15" fillId="0" borderId="11" xfId="6" applyNumberFormat="1" applyFont="1" applyFill="1" applyBorder="1" applyAlignment="1">
      <alignment horizontal="left" vertical="center" wrapText="1"/>
    </xf>
    <xf numFmtId="0" fontId="15" fillId="40" borderId="33" xfId="6" applyFont="1" applyFill="1" applyBorder="1" applyAlignment="1">
      <alignment horizontal="left" vertical="center" wrapText="1"/>
    </xf>
    <xf numFmtId="0" fontId="15" fillId="40" borderId="34" xfId="6" applyFont="1" applyFill="1" applyBorder="1" applyAlignment="1">
      <alignment horizontal="left" vertical="center" wrapText="1"/>
    </xf>
    <xf numFmtId="0" fontId="0" fillId="37" borderId="32" xfId="6" applyFont="1" applyFill="1" applyBorder="1" applyAlignment="1">
      <alignment horizontal="left" vertical="center" wrapText="1"/>
    </xf>
    <xf numFmtId="0" fontId="15" fillId="37" borderId="5" xfId="6" applyFont="1" applyFill="1" applyBorder="1" applyAlignment="1">
      <alignment horizontal="left" vertical="center" wrapText="1"/>
    </xf>
    <xf numFmtId="0" fontId="10" fillId="14" borderId="1" xfId="6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left" vertical="center" wrapText="1"/>
    </xf>
    <xf numFmtId="0" fontId="15" fillId="0" borderId="12" xfId="6" applyFont="1" applyFill="1" applyBorder="1" applyAlignment="1">
      <alignment horizontal="left" vertical="center" wrapText="1"/>
    </xf>
    <xf numFmtId="0" fontId="15" fillId="38" borderId="12" xfId="6" applyFont="1" applyFill="1" applyBorder="1" applyAlignment="1">
      <alignment horizontal="left" vertical="center" wrapText="1"/>
    </xf>
    <xf numFmtId="0" fontId="15" fillId="8" borderId="13" xfId="6" applyFont="1" applyFill="1" applyBorder="1" applyAlignment="1">
      <alignment horizontal="left" vertical="center" wrapText="1"/>
    </xf>
    <xf numFmtId="0" fontId="17" fillId="9" borderId="11" xfId="6" applyFont="1" applyFill="1" applyBorder="1" applyAlignment="1" applyProtection="1">
      <alignment vertical="center"/>
    </xf>
    <xf numFmtId="0" fontId="15" fillId="0" borderId="11" xfId="6" applyFont="1" applyFill="1" applyBorder="1" applyAlignment="1">
      <alignment horizontal="left" vertical="center" wrapText="1"/>
    </xf>
    <xf numFmtId="0" fontId="15" fillId="39" borderId="1" xfId="6" applyFont="1" applyFill="1" applyBorder="1" applyAlignment="1">
      <alignment horizontal="left" vertical="center"/>
    </xf>
    <xf numFmtId="0" fontId="15" fillId="0" borderId="7" xfId="6" applyFont="1" applyFill="1" applyBorder="1" applyAlignment="1">
      <alignment horizontal="left" vertical="center" wrapText="1"/>
    </xf>
    <xf numFmtId="0" fontId="8" fillId="0" borderId="0" xfId="4" applyAlignment="1">
      <alignment horizontal="left" vertical="center" wrapText="1"/>
    </xf>
    <xf numFmtId="0" fontId="9" fillId="13" borderId="1" xfId="0" applyFont="1" applyFill="1" applyBorder="1" applyAlignment="1" applyProtection="1">
      <alignment vertical="center"/>
      <protection locked="0"/>
    </xf>
    <xf numFmtId="0" fontId="9" fillId="13" borderId="1" xfId="0" applyFont="1" applyFill="1" applyBorder="1" applyAlignment="1" applyProtection="1">
      <alignment vertical="center"/>
    </xf>
    <xf numFmtId="0" fontId="15" fillId="13" borderId="1" xfId="4" applyFont="1" applyFill="1" applyBorder="1" applyProtection="1">
      <alignment vertical="center"/>
    </xf>
    <xf numFmtId="0" fontId="0" fillId="0" borderId="0" xfId="4" applyFont="1">
      <alignment vertical="center"/>
    </xf>
    <xf numFmtId="0" fontId="8" fillId="13" borderId="1" xfId="4" applyFont="1" applyFill="1" applyBorder="1" applyProtection="1">
      <alignment vertical="center"/>
    </xf>
    <xf numFmtId="0" fontId="8" fillId="0" borderId="0" xfId="4" applyAlignment="1"/>
    <xf numFmtId="49" fontId="8" fillId="0" borderId="0" xfId="4" applyNumberFormat="1" applyFill="1" applyBorder="1" applyAlignment="1">
      <alignment horizontal="left" vertical="center" wrapText="1"/>
    </xf>
    <xf numFmtId="0" fontId="8" fillId="0" borderId="0" xfId="4" applyBorder="1" applyAlignment="1">
      <alignment horizontal="left" vertical="center" wrapText="1"/>
    </xf>
    <xf numFmtId="0" fontId="8" fillId="42" borderId="1" xfId="4" applyFont="1" applyFill="1" applyBorder="1" applyAlignment="1">
      <alignment horizontal="left" vertical="center" wrapText="1"/>
    </xf>
    <xf numFmtId="0" fontId="8" fillId="42" borderId="7" xfId="4" applyFont="1" applyFill="1" applyBorder="1" applyAlignment="1">
      <alignment horizontal="left" vertical="center" wrapText="1"/>
    </xf>
    <xf numFmtId="0" fontId="8" fillId="42" borderId="6" xfId="4" applyFont="1" applyFill="1" applyBorder="1" applyAlignment="1">
      <alignment horizontal="left" vertical="center" wrapText="1"/>
    </xf>
    <xf numFmtId="0" fontId="15" fillId="0" borderId="1" xfId="4" applyFont="1" applyBorder="1" applyAlignment="1">
      <alignment horizontal="left" vertical="center" wrapText="1"/>
    </xf>
    <xf numFmtId="0" fontId="15" fillId="43" borderId="1" xfId="4" applyFont="1" applyFill="1" applyBorder="1" applyAlignment="1">
      <alignment horizontal="left" vertical="center" wrapText="1"/>
    </xf>
    <xf numFmtId="0" fontId="15" fillId="8" borderId="7" xfId="4" applyFont="1" applyFill="1" applyBorder="1" applyAlignment="1">
      <alignment horizontal="left" vertical="center" wrapText="1"/>
    </xf>
    <xf numFmtId="0" fontId="15" fillId="0" borderId="6" xfId="4" applyFont="1" applyBorder="1" applyAlignment="1">
      <alignment horizontal="left" vertical="center" wrapText="1"/>
    </xf>
    <xf numFmtId="0" fontId="10" fillId="0" borderId="6" xfId="4" applyFont="1" applyBorder="1" applyAlignment="1">
      <alignment horizontal="left" vertical="center" wrapText="1"/>
    </xf>
    <xf numFmtId="0" fontId="10" fillId="0" borderId="1" xfId="4" applyFont="1" applyBorder="1" applyAlignment="1">
      <alignment horizontal="left" vertical="center" wrapText="1"/>
    </xf>
    <xf numFmtId="0" fontId="10" fillId="0" borderId="6" xfId="4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horizontal="left" vertical="center" wrapText="1"/>
    </xf>
    <xf numFmtId="0" fontId="15" fillId="8" borderId="28" xfId="4" applyFont="1" applyFill="1" applyBorder="1" applyAlignment="1">
      <alignment horizontal="left" vertical="center" wrapText="1"/>
    </xf>
    <xf numFmtId="0" fontId="15" fillId="0" borderId="6" xfId="4" applyFont="1" applyFill="1" applyBorder="1" applyAlignment="1">
      <alignment horizontal="left" vertical="center" wrapText="1"/>
    </xf>
    <xf numFmtId="0" fontId="15" fillId="0" borderId="1" xfId="4" applyFont="1" applyFill="1" applyBorder="1" applyAlignment="1">
      <alignment horizontal="left" vertical="center" wrapText="1"/>
    </xf>
    <xf numFmtId="0" fontId="15" fillId="0" borderId="1" xfId="4" applyFont="1" applyBorder="1" applyAlignment="1">
      <alignment horizontal="left" vertical="center"/>
    </xf>
    <xf numFmtId="0" fontId="15" fillId="0" borderId="6" xfId="4" applyFont="1" applyBorder="1" applyAlignment="1">
      <alignment vertical="center" wrapText="1"/>
    </xf>
    <xf numFmtId="0" fontId="15" fillId="0" borderId="11" xfId="4" applyFont="1" applyBorder="1" applyAlignment="1">
      <alignment vertical="center" wrapText="1"/>
    </xf>
    <xf numFmtId="0" fontId="15" fillId="0" borderId="47" xfId="4" applyFont="1" applyBorder="1" applyAlignment="1">
      <alignment horizontal="left" vertical="center" wrapText="1"/>
    </xf>
    <xf numFmtId="0" fontId="15" fillId="0" borderId="32" xfId="4" applyFont="1" applyFill="1" applyBorder="1" applyAlignment="1">
      <alignment horizontal="left" vertical="center" wrapText="1"/>
    </xf>
    <xf numFmtId="0" fontId="15" fillId="0" borderId="32" xfId="4" applyFont="1" applyBorder="1" applyAlignment="1">
      <alignment horizontal="left" vertical="center" wrapText="1"/>
    </xf>
    <xf numFmtId="0" fontId="15" fillId="43" borderId="32" xfId="4" applyFont="1" applyFill="1" applyBorder="1" applyAlignment="1">
      <alignment horizontal="left" vertical="center" wrapText="1"/>
    </xf>
    <xf numFmtId="0" fontId="15" fillId="8" borderId="45" xfId="4" applyFont="1" applyFill="1" applyBorder="1" applyAlignment="1">
      <alignment horizontal="left" vertical="center" wrapText="1"/>
    </xf>
    <xf numFmtId="0" fontId="15" fillId="0" borderId="0" xfId="0" applyFont="1">
      <alignment vertical="center"/>
    </xf>
    <xf numFmtId="0" fontId="8" fillId="42" borderId="1" xfId="4" applyFont="1" applyFill="1" applyBorder="1" applyAlignment="1">
      <alignment vertical="center" wrapText="1"/>
    </xf>
    <xf numFmtId="0" fontId="8" fillId="44" borderId="7" xfId="4" applyFill="1" applyBorder="1" applyAlignment="1">
      <alignment vertical="center" wrapText="1"/>
    </xf>
    <xf numFmtId="0" fontId="15" fillId="0" borderId="1" xfId="4" applyFont="1" applyBorder="1" applyAlignment="1">
      <alignment vertical="center" wrapText="1"/>
    </xf>
    <xf numFmtId="177" fontId="15" fillId="45" borderId="1" xfId="4" applyNumberFormat="1" applyFont="1" applyFill="1" applyBorder="1" applyAlignment="1">
      <alignment horizontal="left" vertical="center" wrapText="1"/>
    </xf>
    <xf numFmtId="0" fontId="15" fillId="0" borderId="7" xfId="4" applyFont="1" applyBorder="1" applyAlignment="1">
      <alignment horizontal="left" vertical="center" wrapText="1"/>
    </xf>
    <xf numFmtId="0" fontId="8" fillId="0" borderId="6" xfId="4" applyFill="1" applyBorder="1" applyAlignment="1">
      <alignment horizontal="left" vertical="center" wrapText="1"/>
    </xf>
    <xf numFmtId="0" fontId="8" fillId="0" borderId="1" xfId="4" applyFill="1" applyBorder="1" applyAlignment="1">
      <alignment horizontal="left" vertical="center" wrapText="1"/>
    </xf>
    <xf numFmtId="0" fontId="8" fillId="45" borderId="1" xfId="4" applyFill="1" applyBorder="1" applyAlignment="1">
      <alignment horizontal="left" vertical="center" wrapText="1"/>
    </xf>
    <xf numFmtId="0" fontId="15" fillId="45" borderId="1" xfId="4" applyFont="1" applyFill="1" applyBorder="1" applyAlignment="1">
      <alignment horizontal="left" vertical="center" wrapText="1"/>
    </xf>
    <xf numFmtId="0" fontId="8" fillId="0" borderId="6" xfId="4" applyBorder="1" applyAlignment="1">
      <alignment horizontal="left" vertical="center" wrapText="1"/>
    </xf>
    <xf numFmtId="0" fontId="8" fillId="0" borderId="1" xfId="4" applyBorder="1" applyAlignment="1">
      <alignment horizontal="left" vertical="center" wrapText="1"/>
    </xf>
    <xf numFmtId="0" fontId="10" fillId="45" borderId="1" xfId="4" applyFont="1" applyFill="1" applyBorder="1" applyAlignment="1">
      <alignment horizontal="left" vertical="center" wrapText="1"/>
    </xf>
    <xf numFmtId="0" fontId="10" fillId="0" borderId="7" xfId="4" applyFont="1" applyBorder="1" applyAlignment="1">
      <alignment horizontal="left" vertical="center"/>
    </xf>
    <xf numFmtId="0" fontId="15" fillId="0" borderId="7" xfId="4" applyFont="1" applyBorder="1" applyAlignment="1">
      <alignment horizontal="left" vertical="center"/>
    </xf>
    <xf numFmtId="2" fontId="15" fillId="45" borderId="1" xfId="4" applyNumberFormat="1" applyFont="1" applyFill="1" applyBorder="1" applyAlignment="1">
      <alignment horizontal="left" vertical="center" wrapText="1"/>
    </xf>
    <xf numFmtId="0" fontId="15" fillId="45" borderId="1" xfId="4" applyNumberFormat="1" applyFont="1" applyFill="1" applyBorder="1" applyAlignment="1">
      <alignment horizontal="left" vertical="center" wrapText="1"/>
    </xf>
    <xf numFmtId="0" fontId="15" fillId="0" borderId="12" xfId="4" applyFont="1" applyBorder="1" applyAlignment="1">
      <alignment horizontal="left" vertical="center" wrapText="1"/>
    </xf>
    <xf numFmtId="0" fontId="15" fillId="45" borderId="12" xfId="4" applyFont="1" applyFill="1" applyBorder="1" applyAlignment="1">
      <alignment horizontal="left" vertical="center" wrapText="1"/>
    </xf>
    <xf numFmtId="0" fontId="15" fillId="0" borderId="13" xfId="4" applyFont="1" applyBorder="1" applyAlignment="1">
      <alignment horizontal="left" vertical="center" wrapText="1"/>
    </xf>
    <xf numFmtId="0" fontId="8" fillId="44" borderId="7" xfId="4" applyFill="1" applyBorder="1" applyAlignment="1">
      <alignment horizontal="left" vertical="center" wrapText="1"/>
    </xf>
    <xf numFmtId="0" fontId="8" fillId="0" borderId="7" xfId="4" applyBorder="1" applyAlignment="1">
      <alignment horizontal="left" vertical="center" wrapText="1"/>
    </xf>
    <xf numFmtId="49" fontId="10" fillId="0" borderId="6" xfId="4" applyNumberFormat="1" applyFont="1" applyFill="1" applyBorder="1" applyAlignment="1">
      <alignment horizontal="left" vertical="center" wrapText="1"/>
    </xf>
    <xf numFmtId="0" fontId="10" fillId="45" borderId="7" xfId="4" applyFont="1" applyFill="1" applyBorder="1" applyAlignment="1">
      <alignment horizontal="left" vertical="center" wrapText="1"/>
    </xf>
    <xf numFmtId="0" fontId="8" fillId="0" borderId="7" xfId="4" applyFill="1" applyBorder="1" applyAlignment="1">
      <alignment horizontal="left" vertical="center" wrapText="1"/>
    </xf>
    <xf numFmtId="49" fontId="10" fillId="0" borderId="24" xfId="4" applyNumberFormat="1" applyFont="1" applyFill="1" applyBorder="1" applyAlignment="1">
      <alignment horizontal="left" vertical="center" wrapText="1"/>
    </xf>
    <xf numFmtId="0" fontId="10" fillId="0" borderId="18" xfId="4" applyFont="1" applyBorder="1" applyAlignment="1">
      <alignment horizontal="left" vertical="center" wrapText="1"/>
    </xf>
    <xf numFmtId="0" fontId="10" fillId="0" borderId="18" xfId="4" applyFont="1" applyFill="1" applyBorder="1" applyAlignment="1">
      <alignment horizontal="left" vertical="center" wrapText="1"/>
    </xf>
    <xf numFmtId="0" fontId="10" fillId="45" borderId="25" xfId="4" applyFont="1" applyFill="1" applyBorder="1" applyAlignment="1">
      <alignment horizontal="left" vertical="center" wrapText="1"/>
    </xf>
    <xf numFmtId="0" fontId="10" fillId="46" borderId="33" xfId="4" applyFont="1" applyFill="1" applyBorder="1" applyAlignment="1">
      <alignment horizontal="left"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0" fontId="10" fillId="0" borderId="1" xfId="4" applyNumberFormat="1" applyFont="1" applyFill="1" applyBorder="1" applyAlignment="1">
      <alignment horizontal="left" vertical="center" wrapText="1"/>
    </xf>
    <xf numFmtId="49" fontId="10" fillId="0" borderId="31" xfId="4" applyNumberFormat="1" applyFont="1" applyFill="1" applyBorder="1" applyAlignment="1">
      <alignment horizontal="left" vertical="center" wrapText="1"/>
    </xf>
    <xf numFmtId="49" fontId="10" fillId="0" borderId="32" xfId="4" applyNumberFormat="1" applyFont="1" applyFill="1" applyBorder="1" applyAlignment="1">
      <alignment horizontal="left" vertical="center" wrapText="1"/>
    </xf>
    <xf numFmtId="0" fontId="10" fillId="0" borderId="32" xfId="4" applyNumberFormat="1" applyFont="1" applyFill="1" applyBorder="1" applyAlignment="1">
      <alignment horizontal="left" vertical="center" wrapText="1"/>
    </xf>
    <xf numFmtId="0" fontId="10" fillId="0" borderId="32" xfId="4" applyFont="1" applyBorder="1" applyAlignment="1">
      <alignment horizontal="left" vertical="center" wrapText="1"/>
    </xf>
    <xf numFmtId="49" fontId="15" fillId="0" borderId="31" xfId="4" applyNumberFormat="1" applyFont="1" applyFill="1" applyBorder="1" applyAlignment="1">
      <alignment horizontal="left" vertical="center" wrapText="1"/>
    </xf>
    <xf numFmtId="0" fontId="15" fillId="45" borderId="32" xfId="4" applyFont="1" applyFill="1" applyBorder="1" applyAlignment="1">
      <alignment horizontal="left" vertical="center" wrapText="1"/>
    </xf>
    <xf numFmtId="0" fontId="15" fillId="46" borderId="33" xfId="4" applyFont="1" applyFill="1" applyBorder="1" applyAlignment="1">
      <alignment horizontal="left" vertical="center" wrapText="1"/>
    </xf>
    <xf numFmtId="49" fontId="15" fillId="0" borderId="6" xfId="4" applyNumberFormat="1" applyFont="1" applyFill="1" applyBorder="1" applyAlignment="1">
      <alignment horizontal="left" vertical="center" wrapText="1"/>
    </xf>
    <xf numFmtId="0" fontId="15" fillId="46" borderId="28" xfId="4" applyFont="1" applyFill="1" applyBorder="1" applyAlignment="1">
      <alignment horizontal="left" vertical="center" wrapText="1"/>
    </xf>
    <xf numFmtId="0" fontId="10" fillId="45" borderId="18" xfId="4" applyFont="1" applyFill="1" applyBorder="1" applyAlignment="1">
      <alignment horizontal="left" vertical="center" wrapText="1"/>
    </xf>
    <xf numFmtId="0" fontId="10" fillId="46" borderId="23" xfId="4" applyFont="1" applyFill="1" applyBorder="1" applyAlignment="1">
      <alignment horizontal="left" vertical="center" wrapText="1"/>
    </xf>
    <xf numFmtId="0" fontId="17" fillId="9" borderId="11" xfId="4" applyFont="1" applyFill="1" applyBorder="1" applyAlignment="1" applyProtection="1">
      <alignment vertical="center"/>
    </xf>
    <xf numFmtId="0" fontId="10" fillId="45" borderId="1" xfId="4" applyNumberFormat="1" applyFont="1" applyFill="1" applyBorder="1" applyAlignment="1">
      <alignment horizontal="left" vertical="center" wrapText="1"/>
    </xf>
    <xf numFmtId="0" fontId="8" fillId="45" borderId="1" xfId="4" applyFill="1" applyBorder="1" applyAlignment="1">
      <alignment horizontal="left" vertical="center"/>
    </xf>
    <xf numFmtId="0" fontId="15" fillId="45" borderId="1" xfId="4" applyFont="1" applyFill="1" applyBorder="1" applyAlignment="1">
      <alignment horizontal="left" vertical="center"/>
    </xf>
    <xf numFmtId="0" fontId="15" fillId="0" borderId="11" xfId="4" applyFont="1" applyFill="1" applyBorder="1" applyAlignment="1">
      <alignment horizontal="left" vertical="center" wrapText="1"/>
    </xf>
    <xf numFmtId="0" fontId="10" fillId="0" borderId="7" xfId="4" applyFont="1" applyBorder="1" applyAlignment="1">
      <alignment horizontal="left" vertical="center" wrapText="1"/>
    </xf>
    <xf numFmtId="0" fontId="15" fillId="0" borderId="7" xfId="4" applyFont="1" applyFill="1" applyBorder="1" applyAlignment="1">
      <alignment horizontal="left" vertical="center" wrapText="1"/>
    </xf>
    <xf numFmtId="0" fontId="15" fillId="8" borderId="13" xfId="4" applyFont="1" applyFill="1" applyBorder="1" applyAlignment="1">
      <alignment horizontal="left" vertical="center" wrapText="1"/>
    </xf>
    <xf numFmtId="0" fontId="14" fillId="3" borderId="38" xfId="0" applyFont="1" applyFill="1" applyBorder="1" applyAlignment="1">
      <alignment vertical="center" wrapText="1"/>
    </xf>
    <xf numFmtId="0" fontId="14" fillId="3" borderId="39" xfId="0" applyFont="1" applyFill="1" applyBorder="1" applyAlignment="1">
      <alignment vertical="center" wrapText="1"/>
    </xf>
    <xf numFmtId="0" fontId="14" fillId="4" borderId="21" xfId="0" applyFont="1" applyFill="1" applyBorder="1" applyAlignment="1">
      <alignment horizontal="left" vertical="center" wrapText="1"/>
    </xf>
    <xf numFmtId="0" fontId="0" fillId="44" borderId="6" xfId="0" applyFont="1" applyFill="1" applyBorder="1" applyAlignment="1">
      <alignment horizontal="left" vertical="center" wrapText="1"/>
    </xf>
    <xf numFmtId="0" fontId="0" fillId="44" borderId="1" xfId="0" applyFont="1" applyFill="1" applyBorder="1" applyAlignment="1">
      <alignment horizontal="left" vertical="center" wrapText="1"/>
    </xf>
    <xf numFmtId="0" fontId="0" fillId="44" borderId="7" xfId="0" applyFont="1" applyFill="1" applyBorder="1" applyAlignment="1">
      <alignment horizontal="left" vertical="center" wrapText="1"/>
    </xf>
    <xf numFmtId="0" fontId="15" fillId="48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5" fillId="8" borderId="1" xfId="0" applyFont="1" applyFill="1" applyBorder="1" applyAlignment="1">
      <alignment horizontal="left" vertical="center" wrapText="1"/>
    </xf>
    <xf numFmtId="0" fontId="15" fillId="8" borderId="28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vertical="center" wrapText="1"/>
    </xf>
    <xf numFmtId="0" fontId="0" fillId="44" borderId="1" xfId="0" applyFont="1" applyFill="1" applyBorder="1" applyAlignment="1">
      <alignment vertical="center" wrapText="1"/>
    </xf>
    <xf numFmtId="0" fontId="0" fillId="49" borderId="7" xfId="0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177" fontId="15" fillId="50" borderId="1" xfId="0" applyNumberFormat="1" applyFont="1" applyFill="1" applyBorder="1" applyAlignment="1">
      <alignment horizontal="left" vertical="center" wrapText="1"/>
    </xf>
    <xf numFmtId="0" fontId="0" fillId="50" borderId="1" xfId="0" applyFill="1" applyBorder="1" applyAlignment="1">
      <alignment horizontal="left" vertical="center" wrapText="1"/>
    </xf>
    <xf numFmtId="0" fontId="15" fillId="50" borderId="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50" borderId="1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/>
    </xf>
    <xf numFmtId="0" fontId="0" fillId="50" borderId="1" xfId="0" applyFont="1" applyFill="1" applyBorder="1" applyAlignment="1">
      <alignment horizontal="left" vertical="center" wrapText="1"/>
    </xf>
    <xf numFmtId="0" fontId="0" fillId="14" borderId="6" xfId="0" applyFont="1" applyFill="1" applyBorder="1" applyAlignment="1">
      <alignment horizontal="left" vertical="center" wrapText="1"/>
    </xf>
    <xf numFmtId="0" fontId="0" fillId="14" borderId="1" xfId="0" applyFont="1" applyFill="1" applyBorder="1" applyAlignment="1">
      <alignment horizontal="left" vertical="center" wrapText="1"/>
    </xf>
    <xf numFmtId="0" fontId="15" fillId="50" borderId="1" xfId="0" applyNumberFormat="1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5" fillId="5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44" borderId="31" xfId="0" applyFont="1" applyFill="1" applyBorder="1" applyAlignment="1">
      <alignment horizontal="left" vertical="center" wrapText="1"/>
    </xf>
    <xf numFmtId="0" fontId="15" fillId="44" borderId="32" xfId="0" applyFont="1" applyFill="1" applyBorder="1" applyAlignment="1">
      <alignment horizontal="left" vertical="center" wrapText="1"/>
    </xf>
    <xf numFmtId="0" fontId="0" fillId="49" borderId="7" xfId="0" applyFill="1" applyBorder="1" applyAlignment="1">
      <alignment horizontal="left" vertical="center" wrapText="1"/>
    </xf>
    <xf numFmtId="0" fontId="15" fillId="8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left" vertical="center" wrapText="1"/>
    </xf>
    <xf numFmtId="0" fontId="15" fillId="8" borderId="11" xfId="0" applyFont="1" applyFill="1" applyBorder="1" applyAlignment="1">
      <alignment horizontal="left" vertical="center" wrapText="1"/>
    </xf>
    <xf numFmtId="0" fontId="15" fillId="8" borderId="12" xfId="0" applyFont="1" applyFill="1" applyBorder="1" applyAlignment="1">
      <alignment horizontal="left" vertical="center" wrapText="1"/>
    </xf>
    <xf numFmtId="0" fontId="0" fillId="14" borderId="7" xfId="0" applyFont="1" applyFill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vertical="center" wrapText="1"/>
    </xf>
    <xf numFmtId="0" fontId="0" fillId="44" borderId="32" xfId="0" applyFont="1" applyFill="1" applyBorder="1" applyAlignment="1">
      <alignment horizontal="left" vertical="center" wrapText="1"/>
    </xf>
    <xf numFmtId="0" fontId="15" fillId="44" borderId="40" xfId="0" applyFont="1" applyFill="1" applyBorder="1" applyAlignment="1">
      <alignment horizontal="left" vertical="center" wrapText="1"/>
    </xf>
    <xf numFmtId="0" fontId="10" fillId="14" borderId="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8" borderId="22" xfId="0" applyFont="1" applyFill="1" applyBorder="1" applyAlignment="1">
      <alignment horizontal="left" vertical="center" wrapText="1"/>
    </xf>
    <xf numFmtId="0" fontId="10" fillId="14" borderId="12" xfId="0" applyFont="1" applyFill="1" applyBorder="1" applyAlignment="1">
      <alignment horizontal="left" vertical="center" wrapText="1"/>
    </xf>
    <xf numFmtId="0" fontId="15" fillId="8" borderId="36" xfId="0" applyFont="1" applyFill="1" applyBorder="1" applyAlignment="1">
      <alignment horizontal="left" vertical="center" wrapText="1"/>
    </xf>
    <xf numFmtId="0" fontId="15" fillId="44" borderId="5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vertical="center" wrapText="1"/>
    </xf>
    <xf numFmtId="0" fontId="15" fillId="0" borderId="9" xfId="3" applyFont="1" applyFill="1" applyBorder="1" applyAlignment="1" applyProtection="1">
      <alignment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5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10" fillId="50" borderId="1" xfId="0" applyNumberFormat="1" applyFont="1" applyFill="1" applyBorder="1" applyAlignment="1">
      <alignment horizontal="left" vertical="center" wrapText="1"/>
    </xf>
    <xf numFmtId="0" fontId="0" fillId="50" borderId="1" xfId="0" applyFill="1" applyBorder="1" applyAlignment="1">
      <alignment horizontal="left" vertical="center"/>
    </xf>
    <xf numFmtId="0" fontId="15" fillId="50" borderId="1" xfId="0" applyFont="1" applyFill="1" applyBorder="1" applyAlignment="1">
      <alignment horizontal="left" vertical="center"/>
    </xf>
    <xf numFmtId="49" fontId="10" fillId="0" borderId="6" xfId="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51" borderId="33" xfId="0" applyFont="1" applyFill="1" applyBorder="1" applyAlignment="1">
      <alignment horizontal="left" vertical="center" wrapText="1"/>
    </xf>
    <xf numFmtId="49" fontId="15" fillId="0" borderId="11" xfId="0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5" fillId="51" borderId="34" xfId="0" applyFont="1" applyFill="1" applyBorder="1" applyAlignment="1">
      <alignment horizontal="left" vertical="center" wrapText="1"/>
    </xf>
    <xf numFmtId="49" fontId="10" fillId="0" borderId="11" xfId="0" applyNumberFormat="1" applyFont="1" applyFill="1" applyBorder="1" applyAlignment="1">
      <alignment horizontal="left" vertical="center" wrapText="1"/>
    </xf>
    <xf numFmtId="0" fontId="10" fillId="50" borderId="12" xfId="0" applyFont="1" applyFill="1" applyBorder="1" applyAlignment="1">
      <alignment horizontal="left" vertical="center" wrapText="1"/>
    </xf>
    <xf numFmtId="0" fontId="10" fillId="51" borderId="34" xfId="0" applyFont="1" applyFill="1" applyBorder="1" applyAlignment="1">
      <alignment horizontal="left" vertical="center" wrapText="1"/>
    </xf>
    <xf numFmtId="176" fontId="12" fillId="12" borderId="1" xfId="3" applyNumberFormat="1" applyFont="1" applyFill="1" applyBorder="1" applyAlignment="1" applyProtection="1">
      <alignment vertical="center"/>
    </xf>
    <xf numFmtId="0" fontId="14" fillId="4" borderId="2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0" fillId="53" borderId="6" xfId="0" applyFont="1" applyFill="1" applyBorder="1" applyAlignment="1">
      <alignment vertical="center" wrapText="1"/>
    </xf>
    <xf numFmtId="0" fontId="0" fillId="53" borderId="1" xfId="0" applyFont="1" applyFill="1" applyBorder="1" applyAlignment="1">
      <alignment vertical="center" wrapText="1"/>
    </xf>
    <xf numFmtId="0" fontId="0" fillId="53" borderId="7" xfId="0" applyFont="1" applyFill="1" applyBorder="1" applyAlignment="1">
      <alignment vertical="center" wrapText="1"/>
    </xf>
    <xf numFmtId="0" fontId="0" fillId="54" borderId="7" xfId="0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54" borderId="13" xfId="0" applyFill="1" applyBorder="1" applyAlignment="1">
      <alignment horizontal="left" vertical="center" wrapText="1"/>
    </xf>
    <xf numFmtId="0" fontId="29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54" borderId="1" xfId="0" applyFill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1" xfId="0" applyFont="1" applyBorder="1" applyAlignment="1">
      <alignment wrapText="1"/>
    </xf>
    <xf numFmtId="0" fontId="0" fillId="0" borderId="1" xfId="0" applyBorder="1" applyAlignment="1"/>
    <xf numFmtId="176" fontId="0" fillId="54" borderId="1" xfId="0" applyNumberFormat="1" applyFill="1" applyBorder="1" applyAlignment="1">
      <alignment horizontal="left" vertical="center"/>
    </xf>
    <xf numFmtId="0" fontId="0" fillId="0" borderId="6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41" xfId="0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54" borderId="1" xfId="0" applyFont="1" applyFill="1" applyBorder="1" applyAlignment="1" applyProtection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0" fillId="54" borderId="1" xfId="0" applyNumberFormat="1" applyFill="1" applyBorder="1" applyAlignment="1" applyProtection="1">
      <alignment horizontal="left" vertical="center" wrapText="1"/>
    </xf>
    <xf numFmtId="0" fontId="0" fillId="54" borderId="1" xfId="0" applyFill="1" applyBorder="1" applyAlignment="1">
      <alignment horizontal="left" vertical="center" wrapText="1"/>
    </xf>
    <xf numFmtId="0" fontId="15" fillId="54" borderId="12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15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53" borderId="32" xfId="0" applyFont="1" applyFill="1" applyBorder="1" applyAlignment="1">
      <alignment horizontal="left" vertical="center" wrapText="1"/>
    </xf>
    <xf numFmtId="0" fontId="0" fillId="55" borderId="1" xfId="0" applyFill="1" applyBorder="1" applyAlignment="1">
      <alignment horizontal="left" vertical="center" wrapText="1"/>
    </xf>
    <xf numFmtId="0" fontId="0" fillId="55" borderId="1" xfId="0" applyFont="1" applyFill="1" applyBorder="1" applyAlignment="1">
      <alignment horizontal="left" vertical="center" wrapText="1"/>
    </xf>
    <xf numFmtId="0" fontId="0" fillId="54" borderId="12" xfId="0" applyFill="1" applyBorder="1" applyAlignment="1">
      <alignment horizontal="left" vertical="center"/>
    </xf>
    <xf numFmtId="0" fontId="13" fillId="54" borderId="1" xfId="0" applyFont="1" applyFill="1" applyBorder="1" applyAlignment="1">
      <alignment horizontal="left" vertical="center" wrapText="1"/>
    </xf>
    <xf numFmtId="0" fontId="10" fillId="54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 applyAlignment="1">
      <alignment wrapText="1"/>
    </xf>
    <xf numFmtId="0" fontId="0" fillId="54" borderId="1" xfId="0" applyFill="1" applyBorder="1" applyAlignment="1">
      <alignment horizontal="left"/>
    </xf>
    <xf numFmtId="0" fontId="10" fillId="0" borderId="1" xfId="0" applyFont="1" applyBorder="1" applyAlignment="1"/>
    <xf numFmtId="0" fontId="10" fillId="54" borderId="1" xfId="0" applyFont="1" applyFill="1" applyBorder="1" applyAlignment="1">
      <alignment horizontal="left"/>
    </xf>
    <xf numFmtId="0" fontId="10" fillId="0" borderId="1" xfId="0" applyFont="1" applyBorder="1" applyAlignment="1">
      <alignment wrapText="1"/>
    </xf>
    <xf numFmtId="0" fontId="13" fillId="54" borderId="1" xfId="0" applyFont="1" applyFill="1" applyBorder="1" applyAlignment="1">
      <alignment horizontal="left"/>
    </xf>
    <xf numFmtId="0" fontId="0" fillId="56" borderId="1" xfId="0" applyFill="1" applyBorder="1" applyAlignment="1" applyProtection="1">
      <alignment vertical="center" wrapText="1"/>
    </xf>
    <xf numFmtId="0" fontId="0" fillId="56" borderId="1" xfId="0" applyFill="1" applyBorder="1" applyProtection="1">
      <alignment vertical="center"/>
    </xf>
    <xf numFmtId="0" fontId="8" fillId="13" borderId="1" xfId="0" applyFont="1" applyFill="1" applyBorder="1" applyAlignment="1" applyProtection="1">
      <alignment vertical="center" wrapText="1"/>
    </xf>
    <xf numFmtId="0" fontId="8" fillId="13" borderId="1" xfId="0" applyFont="1" applyFill="1" applyBorder="1" applyProtection="1">
      <alignment vertical="center"/>
    </xf>
    <xf numFmtId="0" fontId="9" fillId="56" borderId="1" xfId="0" applyFont="1" applyFill="1" applyBorder="1" applyProtection="1">
      <alignment vertical="center"/>
    </xf>
    <xf numFmtId="0" fontId="0" fillId="14" borderId="1" xfId="0" applyFill="1" applyBorder="1" applyAlignment="1" applyProtection="1">
      <alignment vertical="center" wrapText="1"/>
    </xf>
    <xf numFmtId="0" fontId="10" fillId="13" borderId="1" xfId="0" applyFont="1" applyFill="1" applyBorder="1" applyAlignment="1" applyProtection="1">
      <alignment vertical="center" wrapText="1"/>
    </xf>
    <xf numFmtId="0" fontId="10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0" fillId="0" borderId="0" xfId="0" applyProtection="1">
      <alignment vertical="center"/>
      <protection locked="0"/>
    </xf>
    <xf numFmtId="0" fontId="8" fillId="57" borderId="1" xfId="3" applyFill="1" applyBorder="1" applyAlignment="1" applyProtection="1">
      <alignment vertical="center"/>
    </xf>
    <xf numFmtId="0" fontId="8" fillId="0" borderId="0" xfId="4" applyProtection="1">
      <alignment vertical="center"/>
      <protection locked="0"/>
    </xf>
    <xf numFmtId="0" fontId="8" fillId="0" borderId="0" xfId="4" applyProtection="1">
      <alignment vertical="center"/>
    </xf>
    <xf numFmtId="0" fontId="9" fillId="13" borderId="1" xfId="8" applyFont="1" applyFill="1" applyBorder="1" applyProtection="1">
      <alignment vertical="center"/>
    </xf>
    <xf numFmtId="0" fontId="9" fillId="13" borderId="1" xfId="8" applyFont="1" applyFill="1" applyBorder="1" applyProtection="1">
      <alignment vertical="center"/>
      <protection locked="0"/>
    </xf>
    <xf numFmtId="0" fontId="18" fillId="26" borderId="1" xfId="4" applyNumberFormat="1" applyFont="1" applyFill="1" applyBorder="1" applyAlignment="1" applyProtection="1">
      <alignment vertical="center"/>
    </xf>
    <xf numFmtId="0" fontId="10" fillId="0" borderId="0" xfId="4" applyFont="1" applyProtection="1">
      <alignment vertical="center"/>
      <protection locked="0"/>
    </xf>
    <xf numFmtId="0" fontId="18" fillId="26" borderId="1" xfId="4" applyNumberFormat="1" applyFont="1" applyFill="1" applyBorder="1" applyAlignment="1" applyProtection="1">
      <alignment vertical="center"/>
      <protection locked="0"/>
    </xf>
    <xf numFmtId="0" fontId="8" fillId="13" borderId="1" xfId="8" applyFont="1" applyFill="1" applyBorder="1" applyAlignment="1" applyProtection="1">
      <alignment vertical="center" wrapText="1"/>
    </xf>
    <xf numFmtId="0" fontId="8" fillId="13" borderId="1" xfId="8" applyFill="1" applyBorder="1" applyAlignment="1" applyProtection="1">
      <alignment horizontal="center" vertical="center" wrapText="1"/>
    </xf>
    <xf numFmtId="0" fontId="8" fillId="0" borderId="0" xfId="4" applyFont="1">
      <alignment vertical="center"/>
    </xf>
    <xf numFmtId="0" fontId="8" fillId="13" borderId="1" xfId="8" applyFont="1" applyFill="1" applyBorder="1" applyProtection="1">
      <alignment vertical="center"/>
    </xf>
    <xf numFmtId="0" fontId="8" fillId="13" borderId="1" xfId="4" applyFill="1" applyBorder="1" applyAlignment="1" applyProtection="1">
      <alignment horizontal="center" vertical="center"/>
    </xf>
    <xf numFmtId="0" fontId="8" fillId="0" borderId="0" xfId="4" applyFont="1" applyProtection="1">
      <alignment vertical="center"/>
    </xf>
    <xf numFmtId="0" fontId="8" fillId="13" borderId="1" xfId="8" applyFill="1" applyBorder="1" applyProtection="1">
      <alignment vertical="center"/>
    </xf>
    <xf numFmtId="0" fontId="15" fillId="13" borderId="1" xfId="8" applyFont="1" applyFill="1" applyBorder="1" applyProtection="1">
      <alignment vertical="center"/>
    </xf>
    <xf numFmtId="0" fontId="8" fillId="0" borderId="0" xfId="4" applyFill="1">
      <alignment vertical="center"/>
    </xf>
    <xf numFmtId="0" fontId="8" fillId="0" borderId="0" xfId="4" applyFont="1" applyFill="1">
      <alignment vertical="center"/>
    </xf>
    <xf numFmtId="0" fontId="15" fillId="13" borderId="1" xfId="4" applyFont="1" applyFill="1" applyBorder="1" applyAlignment="1" applyProtection="1">
      <alignment horizontal="center" vertical="center"/>
    </xf>
    <xf numFmtId="0" fontId="0" fillId="13" borderId="1" xfId="8" applyFont="1" applyFill="1" applyBorder="1" applyProtection="1">
      <alignment vertical="center"/>
    </xf>
    <xf numFmtId="0" fontId="15" fillId="0" borderId="0" xfId="4" applyFont="1" applyFill="1">
      <alignment vertical="center"/>
    </xf>
    <xf numFmtId="0" fontId="8" fillId="13" borderId="1" xfId="4" applyNumberFormat="1" applyFill="1" applyBorder="1" applyProtection="1">
      <alignment vertical="center"/>
    </xf>
    <xf numFmtId="0" fontId="12" fillId="13" borderId="1" xfId="8" applyFont="1" applyFill="1" applyBorder="1" applyProtection="1">
      <alignment vertical="center"/>
    </xf>
    <xf numFmtId="0" fontId="19" fillId="26" borderId="1" xfId="4" applyNumberFormat="1" applyFont="1" applyFill="1" applyBorder="1" applyAlignment="1" applyProtection="1">
      <alignment vertical="center"/>
    </xf>
    <xf numFmtId="0" fontId="19" fillId="0" borderId="0" xfId="4" applyNumberFormat="1" applyFont="1" applyFill="1" applyBorder="1" applyAlignment="1" applyProtection="1">
      <alignment vertical="center"/>
    </xf>
    <xf numFmtId="0" fontId="19" fillId="0" borderId="0" xfId="7" applyNumberFormat="1" applyFont="1" applyFill="1" applyBorder="1" applyAlignment="1" applyProtection="1">
      <alignment vertical="center"/>
    </xf>
    <xf numFmtId="0" fontId="0" fillId="0" borderId="0" xfId="0" applyProtection="1">
      <alignment vertical="center"/>
    </xf>
    <xf numFmtId="0" fontId="8" fillId="13" borderId="1" xfId="8" applyFill="1" applyBorder="1" applyAlignment="1" applyProtection="1">
      <alignment vertical="center" wrapText="1"/>
    </xf>
    <xf numFmtId="0" fontId="0" fillId="0" borderId="0" xfId="0" applyFill="1">
      <alignment vertical="center"/>
    </xf>
    <xf numFmtId="0" fontId="8" fillId="58" borderId="1" xfId="3" applyFill="1" applyBorder="1" applyAlignment="1" applyProtection="1">
      <alignment vertical="center"/>
    </xf>
    <xf numFmtId="0" fontId="19" fillId="0" borderId="0" xfId="0" applyNumberFormat="1" applyFont="1" applyFill="1" applyBorder="1" applyAlignment="1" applyProtection="1">
      <alignment vertical="center" wrapText="1"/>
    </xf>
    <xf numFmtId="0" fontId="0" fillId="0" borderId="0" xfId="0" applyAlignment="1">
      <alignment horizontal="left" vertical="center"/>
    </xf>
    <xf numFmtId="0" fontId="0" fillId="8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4" quotePrefix="1" applyFill="1" applyBorder="1" applyAlignment="1">
      <alignment horizontal="left" vertical="center" wrapText="1"/>
    </xf>
    <xf numFmtId="0" fontId="0" fillId="0" borderId="7" xfId="0" quotePrefix="1" applyBorder="1" applyAlignment="1">
      <alignment horizontal="left" vertical="center" wrapText="1"/>
    </xf>
    <xf numFmtId="0" fontId="0" fillId="0" borderId="7" xfId="0" quotePrefix="1" applyFont="1" applyFill="1" applyBorder="1" applyAlignment="1">
      <alignment horizontal="left" vertical="center" wrapText="1"/>
    </xf>
    <xf numFmtId="0" fontId="7" fillId="9" borderId="12" xfId="0" applyFont="1" applyFill="1" applyBorder="1" applyAlignment="1" applyProtection="1">
      <alignment horizontal="left" vertical="center"/>
    </xf>
    <xf numFmtId="176" fontId="7" fillId="9" borderId="12" xfId="0" applyNumberFormat="1" applyFont="1" applyFill="1" applyBorder="1" applyAlignment="1" applyProtection="1">
      <alignment horizontal="left" vertical="center"/>
    </xf>
    <xf numFmtId="176" fontId="7" fillId="9" borderId="13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 applyProtection="1">
      <alignment horizontal="left" vertical="center"/>
    </xf>
    <xf numFmtId="0" fontId="6" fillId="9" borderId="4" xfId="0" applyFont="1" applyFill="1" applyBorder="1" applyAlignment="1" applyProtection="1">
      <alignment horizontal="left" vertical="center"/>
    </xf>
    <xf numFmtId="0" fontId="6" fillId="9" borderId="5" xfId="0" applyFont="1" applyFill="1" applyBorder="1" applyAlignment="1" applyProtection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0" fillId="13" borderId="26" xfId="0" applyFont="1" applyFill="1" applyBorder="1" applyAlignment="1">
      <alignment horizontal="center" vertical="center" wrapText="1"/>
    </xf>
    <xf numFmtId="0" fontId="30" fillId="13" borderId="27" xfId="0" applyFont="1" applyFill="1" applyBorder="1" applyAlignment="1">
      <alignment horizontal="center" vertical="center" wrapText="1"/>
    </xf>
    <xf numFmtId="0" fontId="30" fillId="13" borderId="28" xfId="0" applyFont="1" applyFill="1" applyBorder="1" applyAlignment="1">
      <alignment horizontal="center" vertical="center" wrapText="1"/>
    </xf>
    <xf numFmtId="0" fontId="30" fillId="13" borderId="6" xfId="0" applyFont="1" applyFill="1" applyBorder="1" applyAlignment="1">
      <alignment horizontal="center" vertical="center" wrapText="1"/>
    </xf>
    <xf numFmtId="0" fontId="30" fillId="13" borderId="1" xfId="0" applyFont="1" applyFill="1" applyBorder="1" applyAlignment="1">
      <alignment horizontal="center" vertical="center" wrapText="1"/>
    </xf>
    <xf numFmtId="0" fontId="30" fillId="13" borderId="7" xfId="0" applyFont="1" applyFill="1" applyBorder="1" applyAlignment="1">
      <alignment horizontal="center" vertical="center" wrapText="1"/>
    </xf>
    <xf numFmtId="0" fontId="0" fillId="13" borderId="0" xfId="0" applyFill="1" applyAlignment="1">
      <alignment horizontal="center"/>
    </xf>
    <xf numFmtId="0" fontId="29" fillId="13" borderId="6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 wrapText="1"/>
    </xf>
    <xf numFmtId="0" fontId="29" fillId="13" borderId="46" xfId="0" applyFont="1" applyFill="1" applyBorder="1" applyAlignment="1">
      <alignment horizontal="center" vertical="center" wrapText="1"/>
    </xf>
    <xf numFmtId="0" fontId="29" fillId="13" borderId="50" xfId="0" applyFont="1" applyFill="1" applyBorder="1" applyAlignment="1">
      <alignment horizontal="center" vertical="center" wrapText="1"/>
    </xf>
    <xf numFmtId="0" fontId="29" fillId="13" borderId="51" xfId="0" applyFont="1" applyFill="1" applyBorder="1" applyAlignment="1">
      <alignment horizontal="center" vertical="center" wrapText="1"/>
    </xf>
    <xf numFmtId="0" fontId="14" fillId="52" borderId="16" xfId="0" applyFont="1" applyFill="1" applyBorder="1" applyAlignment="1">
      <alignment horizontal="center" vertical="center" wrapText="1"/>
    </xf>
    <xf numFmtId="0" fontId="14" fillId="52" borderId="17" xfId="0" applyFont="1" applyFill="1" applyBorder="1" applyAlignment="1">
      <alignment horizontal="center" vertical="center" wrapText="1"/>
    </xf>
    <xf numFmtId="0" fontId="14" fillId="52" borderId="19" xfId="0" applyFont="1" applyFill="1" applyBorder="1" applyAlignment="1">
      <alignment horizontal="center" vertical="center" wrapText="1"/>
    </xf>
    <xf numFmtId="0" fontId="29" fillId="13" borderId="26" xfId="0" applyFont="1" applyFill="1" applyBorder="1" applyAlignment="1">
      <alignment horizontal="center" vertical="center" wrapText="1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29" fillId="13" borderId="26" xfId="0" applyFont="1" applyFill="1" applyBorder="1" applyAlignment="1">
      <alignment horizontal="center" vertical="center"/>
    </xf>
    <xf numFmtId="0" fontId="29" fillId="13" borderId="27" xfId="0" applyFont="1" applyFill="1" applyBorder="1" applyAlignment="1">
      <alignment horizontal="center" vertical="center"/>
    </xf>
    <xf numFmtId="0" fontId="29" fillId="13" borderId="28" xfId="0" applyFont="1" applyFill="1" applyBorder="1" applyAlignment="1">
      <alignment horizontal="center" vertical="center"/>
    </xf>
    <xf numFmtId="0" fontId="29" fillId="13" borderId="27" xfId="0" applyFont="1" applyFill="1" applyBorder="1" applyAlignment="1">
      <alignment horizontal="center" vertical="center" wrapText="1"/>
    </xf>
    <xf numFmtId="0" fontId="29" fillId="13" borderId="28" xfId="0" applyFont="1" applyFill="1" applyBorder="1" applyAlignment="1">
      <alignment horizontal="center" vertical="center" wrapText="1"/>
    </xf>
    <xf numFmtId="0" fontId="29" fillId="13" borderId="6" xfId="0" applyFon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7" xfId="0" applyFill="1" applyBorder="1" applyAlignment="1">
      <alignment horizontal="center"/>
    </xf>
    <xf numFmtId="0" fontId="15" fillId="13" borderId="1" xfId="0" applyFont="1" applyFill="1" applyBorder="1" applyAlignment="1">
      <alignment horizontal="center" vertical="center" wrapText="1"/>
    </xf>
    <xf numFmtId="0" fontId="29" fillId="53" borderId="22" xfId="0" applyFont="1" applyFill="1" applyBorder="1" applyAlignment="1">
      <alignment horizontal="left" vertical="center" wrapText="1"/>
    </xf>
    <xf numFmtId="0" fontId="29" fillId="53" borderId="27" xfId="0" applyFont="1" applyFill="1" applyBorder="1" applyAlignment="1">
      <alignment horizontal="left" vertical="center" wrapText="1"/>
    </xf>
    <xf numFmtId="0" fontId="29" fillId="53" borderId="41" xfId="0" applyFont="1" applyFill="1" applyBorder="1" applyAlignment="1">
      <alignment horizontal="left" vertical="center" wrapText="1"/>
    </xf>
    <xf numFmtId="0" fontId="14" fillId="52" borderId="3" xfId="0" applyFont="1" applyFill="1" applyBorder="1" applyAlignment="1">
      <alignment horizontal="center" vertical="center" wrapText="1"/>
    </xf>
    <xf numFmtId="0" fontId="14" fillId="52" borderId="4" xfId="0" applyFont="1" applyFill="1" applyBorder="1" applyAlignment="1">
      <alignment horizontal="center" vertical="center" wrapText="1"/>
    </xf>
    <xf numFmtId="0" fontId="14" fillId="52" borderId="45" xfId="0" applyFont="1" applyFill="1" applyBorder="1" applyAlignment="1">
      <alignment horizontal="center" vertical="center" wrapText="1"/>
    </xf>
    <xf numFmtId="0" fontId="14" fillId="52" borderId="3" xfId="0" applyFont="1" applyFill="1" applyBorder="1" applyAlignment="1">
      <alignment horizontal="center" vertical="center"/>
    </xf>
    <xf numFmtId="0" fontId="14" fillId="52" borderId="4" xfId="0" applyFont="1" applyFill="1" applyBorder="1" applyAlignment="1">
      <alignment horizontal="center" vertical="center"/>
    </xf>
    <xf numFmtId="0" fontId="14" fillId="52" borderId="5" xfId="0" applyFont="1" applyFill="1" applyBorder="1" applyAlignment="1">
      <alignment horizontal="center" vertical="center"/>
    </xf>
    <xf numFmtId="0" fontId="29" fillId="13" borderId="3" xfId="0" applyFont="1" applyFill="1" applyBorder="1" applyAlignment="1">
      <alignment horizontal="center" vertical="center"/>
    </xf>
    <xf numFmtId="0" fontId="29" fillId="13" borderId="4" xfId="0" applyFont="1" applyFill="1" applyBorder="1" applyAlignment="1">
      <alignment horizontal="center" vertical="center"/>
    </xf>
    <xf numFmtId="0" fontId="29" fillId="13" borderId="5" xfId="0" applyFont="1" applyFill="1" applyBorder="1" applyAlignment="1">
      <alignment horizontal="center" vertical="center"/>
    </xf>
    <xf numFmtId="0" fontId="17" fillId="9" borderId="12" xfId="0" applyFont="1" applyFill="1" applyBorder="1" applyAlignment="1" applyProtection="1">
      <alignment horizontal="left" vertical="center"/>
    </xf>
    <xf numFmtId="176" fontId="17" fillId="9" borderId="12" xfId="0" applyNumberFormat="1" applyFont="1" applyFill="1" applyBorder="1" applyAlignment="1" applyProtection="1">
      <alignment horizontal="left" vertical="center"/>
    </xf>
    <xf numFmtId="176" fontId="17" fillId="9" borderId="13" xfId="0" applyNumberFormat="1" applyFont="1" applyFill="1" applyBorder="1" applyAlignment="1" applyProtection="1">
      <alignment horizontal="left" vertical="center"/>
    </xf>
    <xf numFmtId="0" fontId="15" fillId="13" borderId="6" xfId="0" applyFont="1" applyFill="1" applyBorder="1" applyAlignment="1">
      <alignment horizontal="center" vertical="center" wrapText="1"/>
    </xf>
    <xf numFmtId="0" fontId="15" fillId="13" borderId="7" xfId="0" applyFont="1" applyFill="1" applyBorder="1" applyAlignment="1">
      <alignment horizontal="center" vertical="center" wrapText="1"/>
    </xf>
    <xf numFmtId="0" fontId="15" fillId="13" borderId="16" xfId="0" applyFont="1" applyFill="1" applyBorder="1" applyAlignment="1">
      <alignment horizontal="center" vertical="center" wrapText="1"/>
    </xf>
    <xf numFmtId="0" fontId="15" fillId="13" borderId="17" xfId="0" applyFont="1" applyFill="1" applyBorder="1" applyAlignment="1">
      <alignment horizontal="center" vertical="center" wrapText="1"/>
    </xf>
    <xf numFmtId="0" fontId="15" fillId="13" borderId="19" xfId="0" applyFont="1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10" fillId="51" borderId="10" xfId="0" applyFont="1" applyFill="1" applyBorder="1" applyAlignment="1">
      <alignment horizontal="left" vertical="center" wrapText="1"/>
    </xf>
    <xf numFmtId="0" fontId="10" fillId="51" borderId="25" xfId="0" applyFont="1" applyFill="1" applyBorder="1" applyAlignment="1">
      <alignment horizontal="left" vertical="center" wrapText="1"/>
    </xf>
    <xf numFmtId="0" fontId="10" fillId="13" borderId="6" xfId="0" applyFont="1" applyFill="1" applyBorder="1" applyAlignment="1">
      <alignment horizontal="center" vertical="center" wrapText="1"/>
    </xf>
    <xf numFmtId="0" fontId="15" fillId="13" borderId="32" xfId="0" applyFont="1" applyFill="1" applyBorder="1" applyAlignment="1">
      <alignment horizontal="center" vertical="center" wrapText="1"/>
    </xf>
    <xf numFmtId="0" fontId="15" fillId="13" borderId="45" xfId="0" applyFont="1" applyFill="1" applyBorder="1" applyAlignment="1">
      <alignment horizontal="center" vertical="center" wrapText="1"/>
    </xf>
    <xf numFmtId="0" fontId="16" fillId="9" borderId="3" xfId="0" applyFont="1" applyFill="1" applyBorder="1" applyAlignment="1" applyProtection="1">
      <alignment horizontal="left" vertical="center"/>
    </xf>
    <xf numFmtId="0" fontId="16" fillId="9" borderId="4" xfId="0" applyFont="1" applyFill="1" applyBorder="1" applyAlignment="1" applyProtection="1">
      <alignment horizontal="left" vertical="center"/>
    </xf>
    <xf numFmtId="0" fontId="16" fillId="9" borderId="5" xfId="0" applyFont="1" applyFill="1" applyBorder="1" applyAlignment="1" applyProtection="1">
      <alignment horizontal="left" vertical="center"/>
    </xf>
    <xf numFmtId="0" fontId="15" fillId="13" borderId="26" xfId="0" applyFont="1" applyFill="1" applyBorder="1" applyAlignment="1">
      <alignment horizontal="center" vertical="center" wrapText="1"/>
    </xf>
    <xf numFmtId="0" fontId="15" fillId="13" borderId="27" xfId="0" applyFont="1" applyFill="1" applyBorder="1" applyAlignment="1">
      <alignment horizontal="center" vertical="center" wrapText="1"/>
    </xf>
    <xf numFmtId="0" fontId="15" fillId="13" borderId="28" xfId="0" applyFont="1" applyFill="1" applyBorder="1" applyAlignment="1">
      <alignment horizontal="center" vertical="center" wrapText="1"/>
    </xf>
    <xf numFmtId="0" fontId="15" fillId="51" borderId="10" xfId="0" applyFont="1" applyFill="1" applyBorder="1" applyAlignment="1">
      <alignment horizontal="left" vertical="center" wrapText="1"/>
    </xf>
    <xf numFmtId="0" fontId="15" fillId="51" borderId="42" xfId="0" applyFont="1" applyFill="1" applyBorder="1" applyAlignment="1">
      <alignment horizontal="left" vertical="center" wrapText="1"/>
    </xf>
    <xf numFmtId="0" fontId="15" fillId="51" borderId="45" xfId="0" applyFont="1" applyFill="1" applyBorder="1" applyAlignment="1">
      <alignment horizontal="left" vertical="center" wrapText="1"/>
    </xf>
    <xf numFmtId="0" fontId="15" fillId="13" borderId="22" xfId="0" applyFont="1" applyFill="1" applyBorder="1" applyAlignment="1">
      <alignment horizontal="center" vertical="center" wrapText="1"/>
    </xf>
    <xf numFmtId="0" fontId="14" fillId="47" borderId="16" xfId="0" applyFont="1" applyFill="1" applyBorder="1" applyAlignment="1">
      <alignment horizontal="center" vertical="center" wrapText="1"/>
    </xf>
    <xf numFmtId="0" fontId="14" fillId="47" borderId="17" xfId="0" applyFont="1" applyFill="1" applyBorder="1" applyAlignment="1">
      <alignment horizontal="center" vertical="center" wrapText="1"/>
    </xf>
    <xf numFmtId="0" fontId="14" fillId="47" borderId="19" xfId="0" applyFont="1" applyFill="1" applyBorder="1" applyAlignment="1">
      <alignment horizontal="center" vertical="center" wrapText="1"/>
    </xf>
    <xf numFmtId="0" fontId="14" fillId="47" borderId="3" xfId="0" applyFont="1" applyFill="1" applyBorder="1" applyAlignment="1">
      <alignment horizontal="center" vertical="center" wrapText="1"/>
    </xf>
    <xf numFmtId="0" fontId="14" fillId="47" borderId="4" xfId="0" applyFont="1" applyFill="1" applyBorder="1" applyAlignment="1">
      <alignment horizontal="center" vertical="center" wrapText="1"/>
    </xf>
    <xf numFmtId="0" fontId="14" fillId="47" borderId="5" xfId="0" applyFont="1" applyFill="1" applyBorder="1" applyAlignment="1">
      <alignment horizontal="center" vertical="center" wrapText="1"/>
    </xf>
    <xf numFmtId="0" fontId="14" fillId="47" borderId="14" xfId="0" applyFont="1" applyFill="1" applyBorder="1" applyAlignment="1">
      <alignment horizontal="center" vertical="center" wrapText="1"/>
    </xf>
    <xf numFmtId="0" fontId="14" fillId="47" borderId="15" xfId="0" applyFont="1" applyFill="1" applyBorder="1" applyAlignment="1">
      <alignment horizontal="center" vertical="center" wrapText="1"/>
    </xf>
    <xf numFmtId="0" fontId="17" fillId="9" borderId="12" xfId="4" applyFont="1" applyFill="1" applyBorder="1" applyAlignment="1" applyProtection="1">
      <alignment horizontal="left" vertical="center"/>
    </xf>
    <xf numFmtId="176" fontId="17" fillId="9" borderId="12" xfId="4" applyNumberFormat="1" applyFont="1" applyFill="1" applyBorder="1" applyAlignment="1" applyProtection="1">
      <alignment horizontal="left" vertical="center"/>
    </xf>
    <xf numFmtId="176" fontId="17" fillId="9" borderId="13" xfId="4" applyNumberFormat="1" applyFont="1" applyFill="1" applyBorder="1" applyAlignment="1" applyProtection="1">
      <alignment horizontal="left" vertical="center"/>
    </xf>
    <xf numFmtId="0" fontId="10" fillId="46" borderId="10" xfId="4" applyFont="1" applyFill="1" applyBorder="1" applyAlignment="1">
      <alignment horizontal="left" vertical="center" wrapText="1"/>
    </xf>
    <xf numFmtId="0" fontId="10" fillId="46" borderId="42" xfId="4" applyFont="1" applyFill="1" applyBorder="1" applyAlignment="1">
      <alignment horizontal="left" vertical="center" wrapText="1"/>
    </xf>
    <xf numFmtId="0" fontId="10" fillId="46" borderId="45" xfId="4" applyFont="1" applyFill="1" applyBorder="1" applyAlignment="1">
      <alignment horizontal="left" vertical="center" wrapText="1"/>
    </xf>
    <xf numFmtId="0" fontId="15" fillId="13" borderId="1" xfId="4" applyFont="1" applyFill="1" applyBorder="1" applyAlignment="1">
      <alignment horizontal="center" vertical="center" wrapText="1"/>
    </xf>
    <xf numFmtId="0" fontId="15" fillId="13" borderId="7" xfId="4" applyFont="1" applyFill="1" applyBorder="1" applyAlignment="1">
      <alignment horizontal="center" vertical="center" wrapText="1"/>
    </xf>
    <xf numFmtId="0" fontId="15" fillId="13" borderId="6" xfId="4" applyFont="1" applyFill="1" applyBorder="1" applyAlignment="1">
      <alignment horizontal="center" vertical="center" wrapText="1"/>
    </xf>
    <xf numFmtId="0" fontId="16" fillId="9" borderId="3" xfId="4" applyFont="1" applyFill="1" applyBorder="1" applyAlignment="1" applyProtection="1">
      <alignment horizontal="left" vertical="center"/>
    </xf>
    <xf numFmtId="0" fontId="16" fillId="9" borderId="4" xfId="4" applyFont="1" applyFill="1" applyBorder="1" applyAlignment="1" applyProtection="1">
      <alignment horizontal="left" vertical="center"/>
    </xf>
    <xf numFmtId="0" fontId="16" fillId="9" borderId="5" xfId="4" applyFont="1" applyFill="1" applyBorder="1" applyAlignment="1" applyProtection="1">
      <alignment horizontal="left" vertical="center"/>
    </xf>
    <xf numFmtId="0" fontId="15" fillId="13" borderId="26" xfId="4" applyFont="1" applyFill="1" applyBorder="1" applyAlignment="1">
      <alignment horizontal="center" vertical="center" wrapText="1"/>
    </xf>
    <xf numFmtId="0" fontId="15" fillId="13" borderId="27" xfId="4" applyFont="1" applyFill="1" applyBorder="1" applyAlignment="1">
      <alignment horizontal="center" vertical="center" wrapText="1"/>
    </xf>
    <xf numFmtId="0" fontId="15" fillId="13" borderId="28" xfId="4" applyFont="1" applyFill="1" applyBorder="1" applyAlignment="1">
      <alignment horizontal="center" vertical="center" wrapText="1"/>
    </xf>
    <xf numFmtId="0" fontId="15" fillId="13" borderId="16" xfId="4" applyFont="1" applyFill="1" applyBorder="1" applyAlignment="1">
      <alignment horizontal="center" vertical="center" wrapText="1"/>
    </xf>
    <xf numFmtId="0" fontId="15" fillId="13" borderId="17" xfId="4" applyFont="1" applyFill="1" applyBorder="1" applyAlignment="1">
      <alignment horizontal="center" vertical="center" wrapText="1"/>
    </xf>
    <xf numFmtId="0" fontId="15" fillId="13" borderId="19" xfId="4" applyFont="1" applyFill="1" applyBorder="1" applyAlignment="1">
      <alignment horizontal="center" vertical="center" wrapText="1"/>
    </xf>
    <xf numFmtId="0" fontId="15" fillId="13" borderId="22" xfId="4" applyFont="1" applyFill="1" applyBorder="1" applyAlignment="1">
      <alignment horizontal="center" vertical="center" wrapText="1"/>
    </xf>
    <xf numFmtId="0" fontId="14" fillId="41" borderId="4" xfId="4" applyFont="1" applyFill="1" applyBorder="1" applyAlignment="1">
      <alignment horizontal="center" vertical="center" wrapText="1"/>
    </xf>
    <xf numFmtId="0" fontId="14" fillId="41" borderId="5" xfId="4" applyFont="1" applyFill="1" applyBorder="1" applyAlignment="1">
      <alignment horizontal="center" vertical="center" wrapText="1"/>
    </xf>
    <xf numFmtId="0" fontId="14" fillId="41" borderId="16" xfId="4" applyFont="1" applyFill="1" applyBorder="1" applyAlignment="1">
      <alignment horizontal="center" vertical="center" wrapText="1"/>
    </xf>
    <xf numFmtId="0" fontId="14" fillId="41" borderId="17" xfId="4" applyFont="1" applyFill="1" applyBorder="1" applyAlignment="1">
      <alignment horizontal="center" vertical="center" wrapText="1"/>
    </xf>
    <xf numFmtId="0" fontId="14" fillId="41" borderId="19" xfId="4" applyFont="1" applyFill="1" applyBorder="1" applyAlignment="1">
      <alignment horizontal="center" vertical="center" wrapText="1"/>
    </xf>
    <xf numFmtId="0" fontId="14" fillId="41" borderId="48" xfId="4" applyFont="1" applyFill="1" applyBorder="1" applyAlignment="1">
      <alignment horizontal="center" vertical="center" wrapText="1"/>
    </xf>
    <xf numFmtId="0" fontId="14" fillId="41" borderId="49" xfId="4" applyFont="1" applyFill="1" applyBorder="1" applyAlignment="1">
      <alignment horizontal="center" vertical="center" wrapText="1"/>
    </xf>
    <xf numFmtId="0" fontId="14" fillId="41" borderId="21" xfId="4" applyFont="1" applyFill="1" applyBorder="1" applyAlignment="1">
      <alignment horizontal="center" vertical="center" wrapText="1"/>
    </xf>
    <xf numFmtId="0" fontId="17" fillId="9" borderId="12" xfId="6" applyFont="1" applyFill="1" applyBorder="1" applyAlignment="1" applyProtection="1">
      <alignment horizontal="left" vertical="center"/>
    </xf>
    <xf numFmtId="176" fontId="17" fillId="9" borderId="12" xfId="6" applyNumberFormat="1" applyFont="1" applyFill="1" applyBorder="1" applyAlignment="1" applyProtection="1">
      <alignment horizontal="left" vertical="center"/>
    </xf>
    <xf numFmtId="176" fontId="17" fillId="9" borderId="13" xfId="6" applyNumberFormat="1" applyFont="1" applyFill="1" applyBorder="1" applyAlignment="1" applyProtection="1">
      <alignment horizontal="left" vertical="center"/>
    </xf>
    <xf numFmtId="0" fontId="15" fillId="40" borderId="10" xfId="6" applyFont="1" applyFill="1" applyBorder="1" applyAlignment="1">
      <alignment horizontal="left" vertical="center" wrapText="1"/>
    </xf>
    <xf numFmtId="0" fontId="15" fillId="40" borderId="42" xfId="6" applyFont="1" applyFill="1" applyBorder="1" applyAlignment="1">
      <alignment horizontal="left" vertical="center" wrapText="1"/>
    </xf>
    <xf numFmtId="0" fontId="15" fillId="40" borderId="45" xfId="6" applyFont="1" applyFill="1" applyBorder="1" applyAlignment="1">
      <alignment horizontal="left" vertical="center" wrapText="1"/>
    </xf>
    <xf numFmtId="0" fontId="15" fillId="13" borderId="6" xfId="6" applyFont="1" applyFill="1" applyBorder="1" applyAlignment="1">
      <alignment horizontal="center" vertical="center" wrapText="1"/>
    </xf>
    <xf numFmtId="0" fontId="15" fillId="13" borderId="1" xfId="6" applyFont="1" applyFill="1" applyBorder="1" applyAlignment="1">
      <alignment horizontal="center" vertical="center" wrapText="1"/>
    </xf>
    <xf numFmtId="0" fontId="15" fillId="13" borderId="7" xfId="6" applyFont="1" applyFill="1" applyBorder="1" applyAlignment="1">
      <alignment horizontal="center" vertical="center" wrapText="1"/>
    </xf>
    <xf numFmtId="0" fontId="15" fillId="13" borderId="32" xfId="6" applyFont="1" applyFill="1" applyBorder="1" applyAlignment="1">
      <alignment horizontal="center" vertical="center" wrapText="1"/>
    </xf>
    <xf numFmtId="0" fontId="15" fillId="13" borderId="45" xfId="6" applyFont="1" applyFill="1" applyBorder="1" applyAlignment="1">
      <alignment horizontal="center" vertical="center" wrapText="1"/>
    </xf>
    <xf numFmtId="0" fontId="16" fillId="9" borderId="3" xfId="6" applyFont="1" applyFill="1" applyBorder="1" applyAlignment="1" applyProtection="1">
      <alignment horizontal="left" vertical="center"/>
    </xf>
    <xf numFmtId="0" fontId="16" fillId="9" borderId="4" xfId="6" applyFont="1" applyFill="1" applyBorder="1" applyAlignment="1" applyProtection="1">
      <alignment horizontal="left" vertical="center"/>
    </xf>
    <xf numFmtId="0" fontId="16" fillId="9" borderId="5" xfId="6" applyFont="1" applyFill="1" applyBorder="1" applyAlignment="1" applyProtection="1">
      <alignment horizontal="left" vertical="center"/>
    </xf>
    <xf numFmtId="0" fontId="14" fillId="36" borderId="16" xfId="6" applyFont="1" applyFill="1" applyBorder="1" applyAlignment="1">
      <alignment horizontal="center" vertical="center" wrapText="1"/>
    </xf>
    <xf numFmtId="0" fontId="14" fillId="36" borderId="17" xfId="6" applyFont="1" applyFill="1" applyBorder="1" applyAlignment="1">
      <alignment horizontal="center" vertical="center" wrapText="1"/>
    </xf>
    <xf numFmtId="0" fontId="14" fillId="36" borderId="19" xfId="6" applyFont="1" applyFill="1" applyBorder="1" applyAlignment="1">
      <alignment horizontal="center" vertical="center" wrapText="1"/>
    </xf>
    <xf numFmtId="0" fontId="15" fillId="13" borderId="26" xfId="6" applyFont="1" applyFill="1" applyBorder="1" applyAlignment="1">
      <alignment horizontal="center" vertical="center" wrapText="1"/>
    </xf>
    <xf numFmtId="0" fontId="15" fillId="13" borderId="27" xfId="6" applyFont="1" applyFill="1" applyBorder="1" applyAlignment="1">
      <alignment horizontal="center" vertical="center" wrapText="1"/>
    </xf>
    <xf numFmtId="0" fontId="15" fillId="13" borderId="28" xfId="6" applyFont="1" applyFill="1" applyBorder="1" applyAlignment="1">
      <alignment horizontal="center" vertical="center" wrapText="1"/>
    </xf>
    <xf numFmtId="0" fontId="15" fillId="13" borderId="22" xfId="6" applyFont="1" applyFill="1" applyBorder="1" applyAlignment="1">
      <alignment horizontal="center" vertical="center" wrapText="1"/>
    </xf>
    <xf numFmtId="0" fontId="14" fillId="36" borderId="3" xfId="6" applyFont="1" applyFill="1" applyBorder="1" applyAlignment="1">
      <alignment horizontal="center" vertical="center" wrapText="1"/>
    </xf>
    <xf numFmtId="0" fontId="14" fillId="36" borderId="4" xfId="6" applyFont="1" applyFill="1" applyBorder="1" applyAlignment="1">
      <alignment horizontal="center" vertical="center" wrapText="1"/>
    </xf>
    <xf numFmtId="0" fontId="14" fillId="36" borderId="5" xfId="6" applyFont="1" applyFill="1" applyBorder="1" applyAlignment="1">
      <alignment horizontal="center" vertical="center" wrapText="1"/>
    </xf>
    <xf numFmtId="0" fontId="14" fillId="36" borderId="29" xfId="6" applyFont="1" applyFill="1" applyBorder="1" applyAlignment="1">
      <alignment horizontal="center" vertical="center" wrapText="1"/>
    </xf>
    <xf numFmtId="0" fontId="14" fillId="36" borderId="30" xfId="6" applyFont="1" applyFill="1" applyBorder="1" applyAlignment="1">
      <alignment horizontal="center" vertical="center" wrapText="1"/>
    </xf>
    <xf numFmtId="0" fontId="14" fillId="36" borderId="35" xfId="6" applyFont="1" applyFill="1" applyBorder="1" applyAlignment="1">
      <alignment horizontal="center" vertical="center" wrapText="1"/>
    </xf>
    <xf numFmtId="0" fontId="26" fillId="35" borderId="36" xfId="0" applyNumberFormat="1" applyFont="1" applyFill="1" applyBorder="1" applyAlignment="1" applyProtection="1">
      <alignment horizontal="left" vertical="center"/>
    </xf>
    <xf numFmtId="0" fontId="26" fillId="35" borderId="37" xfId="0" applyNumberFormat="1" applyFont="1" applyFill="1" applyBorder="1" applyAlignment="1" applyProtection="1">
      <alignment horizontal="left" vertical="center"/>
    </xf>
    <xf numFmtId="176" fontId="26" fillId="35" borderId="36" xfId="0" applyNumberFormat="1" applyFont="1" applyFill="1" applyBorder="1" applyAlignment="1" applyProtection="1">
      <alignment horizontal="left" vertical="center"/>
    </xf>
    <xf numFmtId="176" fontId="26" fillId="35" borderId="34" xfId="0" applyNumberFormat="1" applyFont="1" applyFill="1" applyBorder="1" applyAlignment="1" applyProtection="1">
      <alignment horizontal="left" vertical="center"/>
    </xf>
    <xf numFmtId="0" fontId="22" fillId="26" borderId="26" xfId="0" applyNumberFormat="1" applyFont="1" applyFill="1" applyBorder="1" applyAlignment="1" applyProtection="1">
      <alignment horizontal="center" vertical="center" wrapText="1"/>
    </xf>
    <xf numFmtId="0" fontId="22" fillId="26" borderId="27" xfId="0" applyNumberFormat="1" applyFont="1" applyFill="1" applyBorder="1" applyAlignment="1" applyProtection="1">
      <alignment horizontal="center" vertical="center" wrapText="1"/>
    </xf>
    <xf numFmtId="0" fontId="22" fillId="26" borderId="28" xfId="0" applyNumberFormat="1" applyFont="1" applyFill="1" applyBorder="1" applyAlignment="1" applyProtection="1">
      <alignment horizontal="center" vertical="center" wrapText="1"/>
    </xf>
    <xf numFmtId="0" fontId="22" fillId="26" borderId="16" xfId="0" applyNumberFormat="1" applyFont="1" applyFill="1" applyBorder="1" applyAlignment="1" applyProtection="1">
      <alignment horizontal="center" vertical="center" wrapText="1"/>
    </xf>
    <xf numFmtId="0" fontId="22" fillId="26" borderId="17" xfId="0" applyNumberFormat="1" applyFont="1" applyFill="1" applyBorder="1" applyAlignment="1" applyProtection="1">
      <alignment horizontal="center" vertical="center" wrapText="1"/>
    </xf>
    <xf numFmtId="0" fontId="22" fillId="26" borderId="19" xfId="0" applyNumberFormat="1" applyFont="1" applyFill="1" applyBorder="1" applyAlignment="1" applyProtection="1">
      <alignment horizontal="center" vertical="center" wrapText="1"/>
    </xf>
    <xf numFmtId="0" fontId="19" fillId="0" borderId="46" xfId="0" applyNumberFormat="1" applyFont="1" applyFill="1" applyBorder="1" applyAlignment="1" applyProtection="1">
      <alignment horizontal="center" vertical="center" wrapText="1"/>
    </xf>
    <xf numFmtId="0" fontId="23" fillId="34" borderId="10" xfId="0" applyNumberFormat="1" applyFont="1" applyFill="1" applyBorder="1" applyAlignment="1" applyProtection="1">
      <alignment horizontal="left" vertical="center" wrapText="1"/>
    </xf>
    <xf numFmtId="0" fontId="23" fillId="34" borderId="25" xfId="0" applyNumberFormat="1" applyFont="1" applyFill="1" applyBorder="1" applyAlignment="1" applyProtection="1">
      <alignment horizontal="left" vertical="center" wrapText="1"/>
    </xf>
    <xf numFmtId="0" fontId="23" fillId="26" borderId="26" xfId="0" applyNumberFormat="1" applyFont="1" applyFill="1" applyBorder="1" applyAlignment="1" applyProtection="1">
      <alignment horizontal="center" vertical="center" wrapText="1"/>
    </xf>
    <xf numFmtId="0" fontId="23" fillId="26" borderId="27" xfId="0" applyNumberFormat="1" applyFont="1" applyFill="1" applyBorder="1" applyAlignment="1" applyProtection="1">
      <alignment horizontal="center" vertical="center" wrapText="1"/>
    </xf>
    <xf numFmtId="0" fontId="23" fillId="26" borderId="28" xfId="0" applyNumberFormat="1" applyFont="1" applyFill="1" applyBorder="1" applyAlignment="1" applyProtection="1">
      <alignment horizontal="center" vertical="center" wrapText="1"/>
    </xf>
    <xf numFmtId="0" fontId="22" fillId="26" borderId="22" xfId="0" applyNumberFormat="1" applyFont="1" applyFill="1" applyBorder="1" applyAlignment="1" applyProtection="1">
      <alignment horizontal="center" vertical="center" wrapText="1"/>
    </xf>
    <xf numFmtId="0" fontId="22" fillId="26" borderId="43" xfId="0" applyNumberFormat="1" applyFont="1" applyFill="1" applyBorder="1" applyAlignment="1" applyProtection="1">
      <alignment horizontal="center" vertical="center" wrapText="1"/>
    </xf>
    <xf numFmtId="0" fontId="22" fillId="26" borderId="44" xfId="0" applyNumberFormat="1" applyFont="1" applyFill="1" applyBorder="1" applyAlignment="1" applyProtection="1">
      <alignment horizontal="center" vertical="center" wrapText="1"/>
    </xf>
    <xf numFmtId="0" fontId="22" fillId="26" borderId="33" xfId="0" applyNumberFormat="1" applyFont="1" applyFill="1" applyBorder="1" applyAlignment="1" applyProtection="1">
      <alignment horizontal="center" vertical="center" wrapText="1"/>
    </xf>
    <xf numFmtId="0" fontId="25" fillId="35" borderId="16" xfId="0" applyNumberFormat="1" applyFont="1" applyFill="1" applyBorder="1" applyAlignment="1" applyProtection="1">
      <alignment horizontal="left" vertical="center"/>
    </xf>
    <xf numFmtId="0" fontId="25" fillId="35" borderId="17" xfId="0" applyNumberFormat="1" applyFont="1" applyFill="1" applyBorder="1" applyAlignment="1" applyProtection="1">
      <alignment horizontal="left" vertical="center"/>
    </xf>
    <xf numFmtId="0" fontId="25" fillId="35" borderId="19" xfId="0" applyNumberFormat="1" applyFont="1" applyFill="1" applyBorder="1" applyAlignment="1" applyProtection="1">
      <alignment horizontal="left" vertical="center"/>
    </xf>
    <xf numFmtId="0" fontId="22" fillId="34" borderId="10" xfId="0" applyNumberFormat="1" applyFont="1" applyFill="1" applyBorder="1" applyAlignment="1" applyProtection="1">
      <alignment horizontal="left" vertical="center" wrapText="1"/>
    </xf>
    <xf numFmtId="0" fontId="22" fillId="34" borderId="42" xfId="0" applyNumberFormat="1" applyFont="1" applyFill="1" applyBorder="1" applyAlignment="1" applyProtection="1">
      <alignment horizontal="left" vertical="center" wrapText="1"/>
    </xf>
    <xf numFmtId="0" fontId="22" fillId="34" borderId="45" xfId="0" applyNumberFormat="1" applyFont="1" applyFill="1" applyBorder="1" applyAlignment="1" applyProtection="1">
      <alignment horizontal="left" vertical="center" wrapText="1"/>
    </xf>
    <xf numFmtId="0" fontId="21" fillId="29" borderId="16" xfId="0" applyNumberFormat="1" applyFont="1" applyFill="1" applyBorder="1" applyAlignment="1" applyProtection="1">
      <alignment horizontal="center" vertical="center" wrapText="1"/>
    </xf>
    <xf numFmtId="0" fontId="21" fillId="29" borderId="17" xfId="0" applyNumberFormat="1" applyFont="1" applyFill="1" applyBorder="1" applyAlignment="1" applyProtection="1">
      <alignment horizontal="center" vertical="center" wrapText="1"/>
    </xf>
    <xf numFmtId="0" fontId="21" fillId="29" borderId="19" xfId="0" applyNumberFormat="1" applyFont="1" applyFill="1" applyBorder="1" applyAlignment="1" applyProtection="1">
      <alignment horizontal="center" vertical="center" wrapText="1"/>
    </xf>
    <xf numFmtId="0" fontId="21" fillId="29" borderId="14" xfId="0" applyNumberFormat="1" applyFont="1" applyFill="1" applyBorder="1" applyAlignment="1" applyProtection="1">
      <alignment horizontal="center" vertical="center" wrapText="1"/>
    </xf>
    <xf numFmtId="0" fontId="21" fillId="29" borderId="15" xfId="0" applyNumberFormat="1" applyFont="1" applyFill="1" applyBorder="1" applyAlignment="1" applyProtection="1">
      <alignment horizontal="center" vertical="center" wrapText="1"/>
    </xf>
    <xf numFmtId="0" fontId="21" fillId="29" borderId="40" xfId="0" applyNumberFormat="1" applyFont="1" applyFill="1" applyBorder="1" applyAlignment="1" applyProtection="1">
      <alignment horizontal="center" vertical="center" wrapText="1"/>
    </xf>
    <xf numFmtId="0" fontId="14" fillId="21" borderId="3" xfId="0" applyFont="1" applyFill="1" applyBorder="1" applyAlignment="1">
      <alignment horizontal="center" vertical="center" wrapText="1"/>
    </xf>
    <xf numFmtId="0" fontId="14" fillId="21" borderId="4" xfId="0" applyFont="1" applyFill="1" applyBorder="1" applyAlignment="1">
      <alignment horizontal="center" vertical="center" wrapText="1"/>
    </xf>
    <xf numFmtId="0" fontId="14" fillId="21" borderId="5" xfId="0" applyFont="1" applyFill="1" applyBorder="1" applyAlignment="1">
      <alignment horizontal="center" vertical="center" wrapText="1"/>
    </xf>
    <xf numFmtId="0" fontId="14" fillId="21" borderId="29" xfId="0" applyFont="1" applyFill="1" applyBorder="1" applyAlignment="1">
      <alignment horizontal="center" vertical="center" wrapText="1"/>
    </xf>
    <xf numFmtId="0" fontId="14" fillId="21" borderId="30" xfId="0" applyFont="1" applyFill="1" applyBorder="1" applyAlignment="1">
      <alignment horizontal="center" vertical="center" wrapText="1"/>
    </xf>
    <xf numFmtId="0" fontId="14" fillId="21" borderId="35" xfId="0" applyFont="1" applyFill="1" applyBorder="1" applyAlignment="1">
      <alignment horizontal="center" vertical="center" wrapText="1"/>
    </xf>
    <xf numFmtId="0" fontId="16" fillId="9" borderId="16" xfId="0" applyFont="1" applyFill="1" applyBorder="1" applyAlignment="1" applyProtection="1">
      <alignment horizontal="left" vertical="center"/>
    </xf>
    <xf numFmtId="0" fontId="16" fillId="9" borderId="17" xfId="0" applyFont="1" applyFill="1" applyBorder="1" applyAlignment="1" applyProtection="1">
      <alignment horizontal="left" vertical="center"/>
    </xf>
    <xf numFmtId="0" fontId="16" fillId="9" borderId="19" xfId="0" applyFont="1" applyFill="1" applyBorder="1" applyAlignment="1" applyProtection="1">
      <alignment horizontal="left" vertical="center"/>
    </xf>
    <xf numFmtId="0" fontId="17" fillId="9" borderId="36" xfId="0" applyFont="1" applyFill="1" applyBorder="1" applyAlignment="1" applyProtection="1">
      <alignment horizontal="left" vertical="center"/>
    </xf>
    <xf numFmtId="0" fontId="17" fillId="9" borderId="37" xfId="0" applyFont="1" applyFill="1" applyBorder="1" applyAlignment="1" applyProtection="1">
      <alignment horizontal="left" vertical="center"/>
    </xf>
    <xf numFmtId="176" fontId="17" fillId="9" borderId="36" xfId="0" applyNumberFormat="1" applyFont="1" applyFill="1" applyBorder="1" applyAlignment="1" applyProtection="1">
      <alignment horizontal="left" vertical="center"/>
    </xf>
    <xf numFmtId="176" fontId="17" fillId="9" borderId="34" xfId="0" applyNumberFormat="1" applyFont="1" applyFill="1" applyBorder="1" applyAlignment="1" applyProtection="1">
      <alignment horizontal="left" vertical="center"/>
    </xf>
    <xf numFmtId="0" fontId="14" fillId="15" borderId="16" xfId="0" applyFont="1" applyFill="1" applyBorder="1" applyAlignment="1">
      <alignment horizontal="center" vertical="center" wrapText="1"/>
    </xf>
    <xf numFmtId="0" fontId="14" fillId="15" borderId="17" xfId="0" applyFont="1" applyFill="1" applyBorder="1" applyAlignment="1">
      <alignment horizontal="center" vertical="center" wrapText="1"/>
    </xf>
    <xf numFmtId="0" fontId="14" fillId="15" borderId="19" xfId="0" applyFont="1" applyFill="1" applyBorder="1" applyAlignment="1">
      <alignment horizontal="center" vertical="center" wrapText="1"/>
    </xf>
    <xf numFmtId="0" fontId="14" fillId="15" borderId="29" xfId="0" applyFont="1" applyFill="1" applyBorder="1" applyAlignment="1">
      <alignment horizontal="center" vertical="center" wrapText="1"/>
    </xf>
    <xf numFmtId="0" fontId="14" fillId="15" borderId="30" xfId="0" applyFont="1" applyFill="1" applyBorder="1" applyAlignment="1">
      <alignment horizontal="center" vertical="center" wrapText="1"/>
    </xf>
    <xf numFmtId="0" fontId="14" fillId="15" borderId="35" xfId="0" applyFont="1" applyFill="1" applyBorder="1" applyAlignment="1">
      <alignment horizontal="center" vertical="center" wrapText="1"/>
    </xf>
  </cellXfs>
  <cellStyles count="9">
    <cellStyle name="標準 102" xfId="1"/>
    <cellStyle name="常规" xfId="0" builtinId="0"/>
    <cellStyle name="常规 2" xfId="3"/>
    <cellStyle name="常规 2 2" xfId="2"/>
    <cellStyle name="常规 3" xfId="4"/>
    <cellStyle name="常规 4" xfId="6"/>
    <cellStyle name="常规 5" xfId="7"/>
    <cellStyle name="常规_Sheet1" xfId="8"/>
    <cellStyle name="千位分隔 2" xfId="5"/>
  </cellStyles>
  <dxfs count="59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/>
        <xdr:cNvSpPr txBox="1"/>
      </xdr:nvSpPr>
      <xdr:spPr>
        <a:xfrm>
          <a:off x="13111480" y="4305300"/>
          <a:ext cx="58254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358027</xdr:colOff>
      <xdr:row>49</xdr:row>
      <xdr:rowOff>493059</xdr:rowOff>
    </xdr:from>
    <xdr:to>
      <xdr:col>27</xdr:col>
      <xdr:colOff>11206</xdr:colOff>
      <xdr:row>52</xdr:row>
      <xdr:rowOff>582706</xdr:rowOff>
    </xdr:to>
    <xdr:sp macro="" textlink="">
      <xdr:nvSpPr>
        <xdr:cNvPr id="2" name="文本框 1"/>
        <xdr:cNvSpPr txBox="1"/>
      </xdr:nvSpPr>
      <xdr:spPr>
        <a:xfrm>
          <a:off x="25493980" y="310515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/>
        <xdr:cNvSpPr txBox="1"/>
      </xdr:nvSpPr>
      <xdr:spPr>
        <a:xfrm>
          <a:off x="24046180" y="379095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/>
        <xdr:cNvSpPr txBox="1"/>
      </xdr:nvSpPr>
      <xdr:spPr>
        <a:xfrm>
          <a:off x="24046180" y="360045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3" name="文本框 2"/>
        <xdr:cNvSpPr txBox="1"/>
      </xdr:nvSpPr>
      <xdr:spPr>
        <a:xfrm>
          <a:off x="24046180" y="360045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/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3" name="文本框 2"/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/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3" name="文本框 2"/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abSelected="1" topLeftCell="A40" workbookViewId="0">
      <selection activeCell="B70" sqref="B70"/>
    </sheetView>
  </sheetViews>
  <sheetFormatPr defaultColWidth="9" defaultRowHeight="13.5"/>
  <cols>
    <col min="1" max="1" width="11.875" customWidth="1"/>
    <col min="2" max="2" width="77.625" customWidth="1"/>
    <col min="3" max="3" width="13.625" customWidth="1"/>
  </cols>
  <sheetData>
    <row r="1" spans="1:3" ht="13.5" customHeight="1">
      <c r="A1" s="676" t="s">
        <v>0</v>
      </c>
      <c r="B1" s="676" t="s">
        <v>1</v>
      </c>
      <c r="C1" s="676" t="s">
        <v>2</v>
      </c>
    </row>
    <row r="2" spans="1:3" ht="27">
      <c r="A2" s="677" t="s">
        <v>3</v>
      </c>
      <c r="B2" s="582" t="s">
        <v>4</v>
      </c>
      <c r="C2" s="677" t="s">
        <v>5</v>
      </c>
    </row>
    <row r="3" spans="1:3">
      <c r="A3" s="677" t="s">
        <v>6</v>
      </c>
      <c r="B3" s="582" t="s">
        <v>7</v>
      </c>
      <c r="C3" s="677" t="s">
        <v>8</v>
      </c>
    </row>
    <row r="4" spans="1:3">
      <c r="A4" s="677" t="s">
        <v>9</v>
      </c>
      <c r="B4" s="582" t="s">
        <v>10</v>
      </c>
      <c r="C4" s="677" t="s">
        <v>11</v>
      </c>
    </row>
    <row r="5" spans="1:3" ht="12.75" customHeight="1">
      <c r="A5" s="677" t="s">
        <v>12</v>
      </c>
      <c r="B5" s="582" t="s">
        <v>13</v>
      </c>
      <c r="C5" s="677" t="s">
        <v>14</v>
      </c>
    </row>
    <row r="6" spans="1:3">
      <c r="A6" s="677" t="s">
        <v>15</v>
      </c>
      <c r="B6" s="582" t="s">
        <v>16</v>
      </c>
      <c r="C6" s="677" t="s">
        <v>17</v>
      </c>
    </row>
    <row r="7" spans="1:3">
      <c r="A7" s="677" t="s">
        <v>18</v>
      </c>
      <c r="B7" s="582" t="s">
        <v>19</v>
      </c>
      <c r="C7" s="677" t="s">
        <v>20</v>
      </c>
    </row>
    <row r="8" spans="1:3">
      <c r="A8" s="677" t="s">
        <v>21</v>
      </c>
      <c r="B8" s="582" t="s">
        <v>22</v>
      </c>
      <c r="C8" s="677" t="s">
        <v>23</v>
      </c>
    </row>
    <row r="9" spans="1:3">
      <c r="A9" s="677" t="s">
        <v>24</v>
      </c>
      <c r="B9" s="582" t="s">
        <v>25</v>
      </c>
      <c r="C9" s="677" t="s">
        <v>26</v>
      </c>
    </row>
    <row r="10" spans="1:3">
      <c r="A10" s="677" t="s">
        <v>27</v>
      </c>
      <c r="B10" s="582" t="s">
        <v>28</v>
      </c>
      <c r="C10" s="677" t="s">
        <v>29</v>
      </c>
    </row>
    <row r="11" spans="1:3">
      <c r="A11" s="677" t="s">
        <v>30</v>
      </c>
      <c r="B11" s="582" t="s">
        <v>31</v>
      </c>
      <c r="C11" s="677" t="s">
        <v>32</v>
      </c>
    </row>
    <row r="12" spans="1:3">
      <c r="A12" s="677" t="s">
        <v>33</v>
      </c>
      <c r="B12" s="582" t="s">
        <v>34</v>
      </c>
      <c r="C12" s="677" t="s">
        <v>35</v>
      </c>
    </row>
    <row r="13" spans="1:3">
      <c r="A13" s="677" t="s">
        <v>36</v>
      </c>
      <c r="B13" s="582" t="s">
        <v>37</v>
      </c>
      <c r="C13" s="677" t="s">
        <v>38</v>
      </c>
    </row>
    <row r="14" spans="1:3" ht="27">
      <c r="A14" s="677" t="s">
        <v>39</v>
      </c>
      <c r="B14" s="582" t="s">
        <v>40</v>
      </c>
      <c r="C14" s="677" t="s">
        <v>41</v>
      </c>
    </row>
    <row r="15" spans="1:3">
      <c r="A15" s="677" t="s">
        <v>42</v>
      </c>
      <c r="B15" s="582" t="s">
        <v>43</v>
      </c>
      <c r="C15" s="677" t="s">
        <v>44</v>
      </c>
    </row>
    <row r="16" spans="1:3">
      <c r="A16" s="677" t="s">
        <v>45</v>
      </c>
      <c r="B16" s="582" t="s">
        <v>46</v>
      </c>
      <c r="C16" s="677" t="s">
        <v>47</v>
      </c>
    </row>
    <row r="17" spans="1:3">
      <c r="A17" s="677" t="s">
        <v>48</v>
      </c>
      <c r="B17" s="582" t="s">
        <v>49</v>
      </c>
      <c r="C17" s="677" t="s">
        <v>50</v>
      </c>
    </row>
    <row r="18" spans="1:3">
      <c r="A18" s="677" t="s">
        <v>51</v>
      </c>
      <c r="B18" s="582" t="s">
        <v>52</v>
      </c>
      <c r="C18" s="677" t="s">
        <v>53</v>
      </c>
    </row>
    <row r="19" spans="1:3">
      <c r="A19" s="677" t="s">
        <v>54</v>
      </c>
      <c r="B19" s="582" t="s">
        <v>55</v>
      </c>
      <c r="C19" s="677" t="s">
        <v>56</v>
      </c>
    </row>
    <row r="20" spans="1:3">
      <c r="A20" s="677" t="s">
        <v>57</v>
      </c>
      <c r="B20" s="582" t="s">
        <v>58</v>
      </c>
      <c r="C20" s="677" t="s">
        <v>59</v>
      </c>
    </row>
    <row r="21" spans="1:3">
      <c r="A21" s="677" t="s">
        <v>60</v>
      </c>
      <c r="B21" s="582" t="s">
        <v>61</v>
      </c>
      <c r="C21" s="677" t="s">
        <v>62</v>
      </c>
    </row>
    <row r="22" spans="1:3">
      <c r="A22" s="677" t="s">
        <v>63</v>
      </c>
      <c r="B22" s="678" t="s">
        <v>64</v>
      </c>
      <c r="C22" s="679" t="s">
        <v>65</v>
      </c>
    </row>
    <row r="23" spans="1:3">
      <c r="A23" s="680" t="s">
        <v>66</v>
      </c>
      <c r="B23" s="584" t="s">
        <v>67</v>
      </c>
      <c r="C23" s="679" t="s">
        <v>68</v>
      </c>
    </row>
    <row r="24" spans="1:3">
      <c r="A24" s="680" t="s">
        <v>69</v>
      </c>
      <c r="B24" s="584" t="s">
        <v>70</v>
      </c>
      <c r="C24" s="679" t="s">
        <v>71</v>
      </c>
    </row>
    <row r="25" spans="1:3" ht="27">
      <c r="A25" s="677" t="s">
        <v>72</v>
      </c>
      <c r="B25" s="582" t="s">
        <v>73</v>
      </c>
      <c r="C25" s="677" t="s">
        <v>74</v>
      </c>
    </row>
    <row r="26" spans="1:3">
      <c r="A26" s="678" t="s">
        <v>75</v>
      </c>
      <c r="B26" s="583" t="s">
        <v>76</v>
      </c>
      <c r="C26" s="680" t="s">
        <v>77</v>
      </c>
    </row>
    <row r="27" spans="1:3">
      <c r="A27" s="680" t="s">
        <v>78</v>
      </c>
      <c r="B27" s="583" t="s">
        <v>79</v>
      </c>
      <c r="C27" s="677" t="s">
        <v>80</v>
      </c>
    </row>
    <row r="28" spans="1:3">
      <c r="A28" s="680" t="s">
        <v>81</v>
      </c>
      <c r="B28" s="583" t="s">
        <v>82</v>
      </c>
      <c r="C28" s="680" t="s">
        <v>83</v>
      </c>
    </row>
    <row r="29" spans="1:3">
      <c r="A29" s="680" t="s">
        <v>84</v>
      </c>
      <c r="B29" s="583" t="s">
        <v>85</v>
      </c>
      <c r="C29" s="680" t="s">
        <v>86</v>
      </c>
    </row>
    <row r="30" spans="1:3">
      <c r="A30" s="680" t="s">
        <v>87</v>
      </c>
      <c r="B30" s="583" t="s">
        <v>88</v>
      </c>
      <c r="C30" s="680" t="s">
        <v>89</v>
      </c>
    </row>
    <row r="31" spans="1:3">
      <c r="A31" s="680" t="s">
        <v>90</v>
      </c>
      <c r="B31" s="583" t="s">
        <v>91</v>
      </c>
      <c r="C31" s="680" t="s">
        <v>89</v>
      </c>
    </row>
    <row r="32" spans="1:3">
      <c r="A32" s="680" t="s">
        <v>92</v>
      </c>
      <c r="B32" s="583" t="s">
        <v>93</v>
      </c>
      <c r="C32" s="680" t="s">
        <v>94</v>
      </c>
    </row>
    <row r="33" spans="1:3" ht="27">
      <c r="A33" s="680" t="s">
        <v>95</v>
      </c>
      <c r="B33" s="583" t="s">
        <v>96</v>
      </c>
      <c r="C33" s="680" t="s">
        <v>97</v>
      </c>
    </row>
    <row r="34" spans="1:3" ht="27">
      <c r="A34" s="680" t="s">
        <v>98</v>
      </c>
      <c r="B34" s="583" t="s">
        <v>99</v>
      </c>
      <c r="C34" s="680" t="s">
        <v>100</v>
      </c>
    </row>
    <row r="35" spans="1:3">
      <c r="A35" s="680" t="s">
        <v>101</v>
      </c>
      <c r="B35" s="583" t="s">
        <v>102</v>
      </c>
      <c r="C35" s="680" t="s">
        <v>103</v>
      </c>
    </row>
    <row r="36" spans="1:3" ht="27">
      <c r="A36" s="680" t="s">
        <v>104</v>
      </c>
      <c r="B36" s="583" t="s">
        <v>105</v>
      </c>
      <c r="C36" s="680" t="s">
        <v>20</v>
      </c>
    </row>
    <row r="37" spans="1:3">
      <c r="A37" s="680" t="s">
        <v>106</v>
      </c>
      <c r="B37" s="583" t="s">
        <v>107</v>
      </c>
      <c r="C37" s="680" t="s">
        <v>108</v>
      </c>
    </row>
    <row r="38" spans="1:3">
      <c r="A38" s="680" t="s">
        <v>109</v>
      </c>
      <c r="B38" s="583" t="s">
        <v>110</v>
      </c>
      <c r="C38" s="680" t="s">
        <v>111</v>
      </c>
    </row>
    <row r="39" spans="1:3" ht="27">
      <c r="A39" s="680" t="s">
        <v>112</v>
      </c>
      <c r="B39" s="583" t="s">
        <v>113</v>
      </c>
      <c r="C39" s="680" t="s">
        <v>114</v>
      </c>
    </row>
    <row r="40" spans="1:3" ht="27">
      <c r="A40" s="680" t="s">
        <v>115</v>
      </c>
      <c r="B40" s="583" t="s">
        <v>116</v>
      </c>
      <c r="C40" s="680" t="s">
        <v>114</v>
      </c>
    </row>
    <row r="41" spans="1:3">
      <c r="A41" s="680" t="s">
        <v>117</v>
      </c>
      <c r="B41" s="584" t="s">
        <v>118</v>
      </c>
      <c r="C41" s="680" t="s">
        <v>119</v>
      </c>
    </row>
    <row r="42" spans="1:3">
      <c r="A42" s="680" t="s">
        <v>120</v>
      </c>
      <c r="B42" s="584" t="s">
        <v>121</v>
      </c>
      <c r="C42" s="680" t="s">
        <v>122</v>
      </c>
    </row>
    <row r="43" spans="1:3">
      <c r="A43" s="680" t="s">
        <v>123</v>
      </c>
      <c r="B43" s="584" t="s">
        <v>124</v>
      </c>
      <c r="C43" s="680" t="s">
        <v>125</v>
      </c>
    </row>
    <row r="44" spans="1:3">
      <c r="A44" s="680" t="s">
        <v>126</v>
      </c>
      <c r="B44" s="584" t="s">
        <v>127</v>
      </c>
      <c r="C44" s="680" t="s">
        <v>128</v>
      </c>
    </row>
    <row r="45" spans="1:3">
      <c r="A45" s="680" t="s">
        <v>129</v>
      </c>
      <c r="B45" s="584" t="s">
        <v>130</v>
      </c>
      <c r="C45" s="680" t="s">
        <v>131</v>
      </c>
    </row>
    <row r="46" spans="1:3">
      <c r="A46" s="680" t="s">
        <v>132</v>
      </c>
      <c r="B46" s="584" t="s">
        <v>133</v>
      </c>
      <c r="C46" s="680" t="s">
        <v>134</v>
      </c>
    </row>
    <row r="47" spans="1:3">
      <c r="A47" s="680" t="s">
        <v>135</v>
      </c>
      <c r="B47" s="584" t="s">
        <v>136</v>
      </c>
      <c r="C47" s="680" t="s">
        <v>137</v>
      </c>
    </row>
    <row r="48" spans="1:3">
      <c r="A48" s="680" t="s">
        <v>138</v>
      </c>
      <c r="B48" s="584" t="s">
        <v>139</v>
      </c>
      <c r="C48" s="680" t="s">
        <v>140</v>
      </c>
    </row>
    <row r="49" spans="1:3">
      <c r="A49" s="680" t="s">
        <v>141</v>
      </c>
      <c r="B49" s="584" t="s">
        <v>142</v>
      </c>
      <c r="C49" s="680" t="s">
        <v>143</v>
      </c>
    </row>
    <row r="50" spans="1:3">
      <c r="A50" s="681" t="s">
        <v>144</v>
      </c>
      <c r="B50" s="682" t="s">
        <v>145</v>
      </c>
      <c r="C50" s="681" t="s">
        <v>146</v>
      </c>
    </row>
    <row r="51" spans="1:3">
      <c r="A51" s="681" t="s">
        <v>147</v>
      </c>
      <c r="B51" s="682" t="s">
        <v>148</v>
      </c>
      <c r="C51" s="681" t="s">
        <v>149</v>
      </c>
    </row>
    <row r="52" spans="1:3" ht="27">
      <c r="A52" s="681" t="s">
        <v>150</v>
      </c>
      <c r="B52" s="682" t="s">
        <v>151</v>
      </c>
      <c r="C52" s="681" t="s">
        <v>152</v>
      </c>
    </row>
    <row r="53" spans="1:3">
      <c r="A53" s="681" t="s">
        <v>153</v>
      </c>
      <c r="B53" s="682" t="s">
        <v>154</v>
      </c>
      <c r="C53" s="681" t="s">
        <v>155</v>
      </c>
    </row>
    <row r="54" spans="1:3">
      <c r="A54" s="681" t="s">
        <v>156</v>
      </c>
      <c r="B54" s="682" t="s">
        <v>157</v>
      </c>
      <c r="C54" s="681" t="s">
        <v>158</v>
      </c>
    </row>
    <row r="55" spans="1:3">
      <c r="A55" s="681" t="s">
        <v>159</v>
      </c>
      <c r="B55" s="682" t="s">
        <v>160</v>
      </c>
      <c r="C55" s="681" t="s">
        <v>161</v>
      </c>
    </row>
    <row r="56" spans="1:3">
      <c r="A56" s="681" t="s">
        <v>162</v>
      </c>
      <c r="B56" s="682" t="s">
        <v>163</v>
      </c>
      <c r="C56" s="681" t="s">
        <v>161</v>
      </c>
    </row>
    <row r="57" spans="1:3">
      <c r="A57" s="681" t="s">
        <v>164</v>
      </c>
      <c r="B57" s="682" t="s">
        <v>165</v>
      </c>
      <c r="C57" s="681" t="s">
        <v>166</v>
      </c>
    </row>
    <row r="58" spans="1:3">
      <c r="A58" s="681" t="s">
        <v>167</v>
      </c>
      <c r="B58" s="682" t="s">
        <v>168</v>
      </c>
      <c r="C58" s="681" t="s">
        <v>169</v>
      </c>
    </row>
    <row r="59" spans="1:3">
      <c r="A59" s="681" t="s">
        <v>170</v>
      </c>
      <c r="B59" s="682" t="s">
        <v>171</v>
      </c>
      <c r="C59" s="681" t="s">
        <v>172</v>
      </c>
    </row>
    <row r="60" spans="1:3">
      <c r="A60" s="681" t="s">
        <v>173</v>
      </c>
      <c r="B60" s="682" t="s">
        <v>174</v>
      </c>
      <c r="C60" s="681" t="s">
        <v>175</v>
      </c>
    </row>
    <row r="61" spans="1:3" ht="27">
      <c r="A61" s="681" t="s">
        <v>176</v>
      </c>
      <c r="B61" s="682" t="s">
        <v>177</v>
      </c>
      <c r="C61" s="681" t="s">
        <v>178</v>
      </c>
    </row>
    <row r="62" spans="1:3" ht="27">
      <c r="A62" s="681" t="s">
        <v>179</v>
      </c>
      <c r="B62" s="682" t="s">
        <v>180</v>
      </c>
      <c r="C62" s="681" t="s">
        <v>178</v>
      </c>
    </row>
    <row r="63" spans="1:3">
      <c r="A63" s="681" t="s">
        <v>181</v>
      </c>
      <c r="B63" s="682" t="s">
        <v>182</v>
      </c>
      <c r="C63" s="681" t="s">
        <v>183</v>
      </c>
    </row>
    <row r="64" spans="1:3">
      <c r="A64" s="681" t="s">
        <v>184</v>
      </c>
      <c r="B64" s="682" t="s">
        <v>185</v>
      </c>
      <c r="C64" s="681" t="s">
        <v>186</v>
      </c>
    </row>
    <row r="65" spans="1:3">
      <c r="A65" s="681" t="s">
        <v>187</v>
      </c>
      <c r="B65" s="682" t="s">
        <v>188</v>
      </c>
      <c r="C65" s="681" t="s">
        <v>189</v>
      </c>
    </row>
    <row r="66" spans="1:3">
      <c r="A66" s="681" t="s">
        <v>190</v>
      </c>
      <c r="B66" s="682" t="s">
        <v>191</v>
      </c>
      <c r="C66" s="681" t="s">
        <v>192</v>
      </c>
    </row>
    <row r="67" spans="1:3">
      <c r="A67" s="681" t="s">
        <v>193</v>
      </c>
      <c r="B67" s="682" t="s">
        <v>194</v>
      </c>
      <c r="C67" s="681" t="s">
        <v>192</v>
      </c>
    </row>
    <row r="68" spans="1:3">
      <c r="A68" s="681" t="s">
        <v>195</v>
      </c>
      <c r="B68" s="682" t="s">
        <v>1259</v>
      </c>
      <c r="C68" s="681" t="s">
        <v>196</v>
      </c>
    </row>
    <row r="69" spans="1:3" ht="27">
      <c r="A69" s="681" t="s">
        <v>1260</v>
      </c>
      <c r="B69" s="682" t="s">
        <v>1262</v>
      </c>
      <c r="C69" s="681" t="s">
        <v>1261</v>
      </c>
    </row>
  </sheetData>
  <phoneticPr fontId="37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B1" workbookViewId="0">
      <selection activeCell="C1" sqref="C1"/>
    </sheetView>
  </sheetViews>
  <sheetFormatPr defaultColWidth="9" defaultRowHeight="13.5"/>
  <cols>
    <col min="1" max="1" width="13.625" hidden="1" customWidth="1"/>
    <col min="2" max="2" width="30.875" customWidth="1"/>
    <col min="3" max="3" width="18.625" customWidth="1"/>
    <col min="10" max="10" width="9" hidden="1" customWidth="1"/>
  </cols>
  <sheetData>
    <row r="1" spans="1:4">
      <c r="A1" s="104" t="s">
        <v>197</v>
      </c>
      <c r="B1" s="104"/>
      <c r="C1" s="107"/>
    </row>
    <row r="2" spans="1:4">
      <c r="A2" s="104" t="s">
        <v>198</v>
      </c>
      <c r="B2" s="104" t="s">
        <v>199</v>
      </c>
      <c r="C2" s="638">
        <f>C57</f>
        <v>2048</v>
      </c>
    </row>
    <row r="3" spans="1:4">
      <c r="A3" s="104" t="s">
        <v>200</v>
      </c>
      <c r="B3" s="104" t="s">
        <v>201</v>
      </c>
      <c r="C3" s="104">
        <f>C58</f>
        <v>1536</v>
      </c>
    </row>
    <row r="4" spans="1:4">
      <c r="A4" s="104" t="s">
        <v>202</v>
      </c>
      <c r="B4" s="104" t="s">
        <v>203</v>
      </c>
      <c r="C4" s="107">
        <v>2048</v>
      </c>
      <c r="D4" s="105" t="str">
        <f>IF(OR(C4&gt;C2,C4&lt;8),J73,"")</f>
        <v/>
      </c>
    </row>
    <row r="5" spans="1:4">
      <c r="A5" s="104" t="s">
        <v>204</v>
      </c>
      <c r="B5" s="104" t="s">
        <v>205</v>
      </c>
      <c r="C5" s="107">
        <v>1536</v>
      </c>
      <c r="D5" s="105" t="str">
        <f>IF(OR(C5&gt;C3,C5&lt;2),J74,"")</f>
        <v/>
      </c>
    </row>
    <row r="6" spans="1:4">
      <c r="A6" s="104" t="s">
        <v>206</v>
      </c>
      <c r="B6" s="104" t="s">
        <v>207</v>
      </c>
      <c r="C6" s="107">
        <v>1</v>
      </c>
    </row>
    <row r="7" spans="1:4">
      <c r="A7" s="104" t="s">
        <v>208</v>
      </c>
      <c r="B7" s="104" t="s">
        <v>209</v>
      </c>
      <c r="C7" s="107">
        <v>1</v>
      </c>
    </row>
    <row r="8" spans="1:4">
      <c r="A8" s="104" t="s">
        <v>210</v>
      </c>
      <c r="B8" s="104" t="s">
        <v>211</v>
      </c>
      <c r="C8" s="107">
        <v>1</v>
      </c>
    </row>
    <row r="9" spans="1:4">
      <c r="A9" s="104" t="s">
        <v>212</v>
      </c>
      <c r="B9" s="104" t="s">
        <v>213</v>
      </c>
      <c r="C9" s="107">
        <v>1</v>
      </c>
    </row>
    <row r="10" spans="1:4">
      <c r="A10" s="104" t="s">
        <v>214</v>
      </c>
      <c r="B10" s="104" t="s">
        <v>215</v>
      </c>
      <c r="C10" s="107">
        <v>20000</v>
      </c>
    </row>
    <row r="11" spans="1:4">
      <c r="A11" s="104" t="s">
        <v>216</v>
      </c>
      <c r="B11" s="104" t="s">
        <v>217</v>
      </c>
      <c r="C11" s="107">
        <v>0</v>
      </c>
    </row>
    <row r="12" spans="1:4">
      <c r="A12" s="104" t="s">
        <v>218</v>
      </c>
      <c r="B12" s="104" t="s">
        <v>423</v>
      </c>
      <c r="C12" s="107">
        <v>8</v>
      </c>
    </row>
    <row r="13" spans="1:4">
      <c r="A13" s="104" t="s">
        <v>220</v>
      </c>
      <c r="B13" s="104" t="s">
        <v>221</v>
      </c>
      <c r="C13" s="107">
        <v>1500</v>
      </c>
    </row>
    <row r="14" spans="1:4">
      <c r="A14" s="104" t="s">
        <v>222</v>
      </c>
      <c r="B14" s="104" t="s">
        <v>223</v>
      </c>
      <c r="C14" s="107">
        <v>0</v>
      </c>
    </row>
    <row r="15" spans="1:4">
      <c r="A15" s="104" t="s">
        <v>224</v>
      </c>
      <c r="B15" s="104" t="s">
        <v>225</v>
      </c>
      <c r="C15" s="104">
        <f>C46</f>
        <v>180000</v>
      </c>
    </row>
    <row r="16" spans="1:4">
      <c r="A16" s="104" t="s">
        <v>226</v>
      </c>
      <c r="B16" s="104" t="s">
        <v>227</v>
      </c>
      <c r="C16" s="107">
        <v>34</v>
      </c>
    </row>
    <row r="17" spans="1:4">
      <c r="A17" s="104" t="s">
        <v>228</v>
      </c>
      <c r="B17" s="104" t="s">
        <v>229</v>
      </c>
      <c r="C17" s="107">
        <v>0</v>
      </c>
    </row>
    <row r="18" spans="1:4">
      <c r="A18" s="104" t="s">
        <v>230</v>
      </c>
      <c r="B18" s="104" t="s">
        <v>231</v>
      </c>
      <c r="C18" s="107">
        <v>1000</v>
      </c>
    </row>
    <row r="19" spans="1:4">
      <c r="A19" s="104" t="s">
        <v>232</v>
      </c>
      <c r="B19" s="104" t="s">
        <v>233</v>
      </c>
      <c r="C19" s="107">
        <v>10</v>
      </c>
    </row>
    <row r="20" spans="1:4">
      <c r="A20" s="104" t="s">
        <v>234</v>
      </c>
      <c r="B20" s="104" t="s">
        <v>235</v>
      </c>
      <c r="C20" s="104">
        <f>C46</f>
        <v>180000</v>
      </c>
    </row>
    <row r="21" spans="1:4">
      <c r="A21" s="104"/>
      <c r="B21" s="104"/>
      <c r="C21" s="104"/>
    </row>
    <row r="22" spans="1:4" hidden="1">
      <c r="A22" s="117" t="s">
        <v>259</v>
      </c>
      <c r="B22" s="104"/>
      <c r="C22" s="635">
        <f>IF(C12=8,11396,22791)</f>
        <v>11396</v>
      </c>
    </row>
    <row r="23" spans="1:4" ht="27" hidden="1">
      <c r="A23" s="117" t="s">
        <v>236</v>
      </c>
      <c r="B23" s="104"/>
      <c r="C23" s="635">
        <f>C16*10</f>
        <v>340</v>
      </c>
    </row>
    <row r="24" spans="1:4" hidden="1">
      <c r="A24" s="639" t="s">
        <v>237</v>
      </c>
      <c r="B24" s="135"/>
      <c r="C24" s="135">
        <f>C62+36</f>
        <v>1572</v>
      </c>
    </row>
    <row r="25" spans="1:4" hidden="1">
      <c r="A25" s="117" t="s">
        <v>238</v>
      </c>
      <c r="B25" s="110"/>
      <c r="C25" s="635">
        <f>MAX(ROUNDUP(((1000*C10-13730)/C22),0),1)</f>
        <v>1754</v>
      </c>
    </row>
    <row r="26" spans="1:4" ht="27" hidden="1">
      <c r="A26" s="117" t="s">
        <v>239</v>
      </c>
      <c r="B26" s="110"/>
      <c r="C26" s="635">
        <f>ROUNDDOWN(C11*1000/C22,0)</f>
        <v>0</v>
      </c>
      <c r="D26" s="115"/>
    </row>
    <row r="27" spans="1:4" hidden="1">
      <c r="A27" s="639" t="s">
        <v>240</v>
      </c>
      <c r="B27" s="135"/>
      <c r="C27" s="135">
        <f>C25+C26+12</f>
        <v>1766</v>
      </c>
    </row>
    <row r="28" spans="1:4" ht="27" hidden="1">
      <c r="A28" s="634" t="s">
        <v>313</v>
      </c>
      <c r="B28" s="635"/>
      <c r="C28" s="635">
        <v>1250</v>
      </c>
    </row>
    <row r="29" spans="1:4" hidden="1">
      <c r="A29" s="117" t="s">
        <v>241</v>
      </c>
      <c r="B29" s="110"/>
      <c r="C29" s="635">
        <v>0</v>
      </c>
    </row>
    <row r="30" spans="1:4" ht="27" hidden="1">
      <c r="A30" s="117" t="s">
        <v>242</v>
      </c>
      <c r="B30" s="110"/>
      <c r="C30" s="134">
        <f>C4*C5*IF(C12=8,1,2)+C29*32</f>
        <v>3145728</v>
      </c>
    </row>
    <row r="31" spans="1:4" hidden="1">
      <c r="A31" s="117" t="s">
        <v>243</v>
      </c>
      <c r="B31" s="110"/>
      <c r="C31" s="635">
        <f>ROUNDDOWN((C4*C5*ROUNDUP(C12/8,0)+C29*36)/(C13-36),0)</f>
        <v>2148</v>
      </c>
    </row>
    <row r="32" spans="1:4" hidden="1">
      <c r="A32" s="117" t="s">
        <v>332</v>
      </c>
      <c r="B32" s="110"/>
      <c r="C32" s="110">
        <f>IF(C29=0,36,12)</f>
        <v>36</v>
      </c>
    </row>
    <row r="33" spans="1:4" hidden="1">
      <c r="A33" s="117" t="s">
        <v>244</v>
      </c>
      <c r="B33" s="110"/>
      <c r="C33" s="635">
        <f>C4*C5*ROUNDUP(C12/8,0)+C29*32-(C13-36)*C31</f>
        <v>1056</v>
      </c>
    </row>
    <row r="34" spans="1:4" hidden="1">
      <c r="A34" s="636" t="s">
        <v>245</v>
      </c>
      <c r="B34" s="110"/>
      <c r="C34" s="635">
        <f>IF(C33=0,0,1)</f>
        <v>1</v>
      </c>
    </row>
    <row r="35" spans="1:4" ht="67.5" hidden="1">
      <c r="A35" s="636" t="s">
        <v>246</v>
      </c>
      <c r="B35" s="110"/>
      <c r="C35" s="635">
        <f>(C13+26)*C31+C34*(C33+62)</f>
        <v>3278966</v>
      </c>
    </row>
    <row r="36" spans="1:4" hidden="1">
      <c r="A36" s="636" t="s">
        <v>247</v>
      </c>
      <c r="B36" s="110"/>
      <c r="C36" s="635">
        <f>(C14+12)*(C34+C31+2)</f>
        <v>25812</v>
      </c>
    </row>
    <row r="37" spans="1:4" hidden="1">
      <c r="A37" s="636" t="s">
        <v>248</v>
      </c>
      <c r="B37" s="110"/>
      <c r="C37" s="635">
        <f>C35+C36+98+72</f>
        <v>3304948</v>
      </c>
    </row>
    <row r="38" spans="1:4" hidden="1">
      <c r="A38" s="635" t="s">
        <v>249</v>
      </c>
      <c r="B38" s="635"/>
      <c r="C38" s="635">
        <f>ROUNDUP(ROUNDUP(C37*1000000000/C49,0)*10/C22,0)</f>
        <v>2578</v>
      </c>
    </row>
    <row r="39" spans="1:4" hidden="1">
      <c r="A39" s="635" t="s">
        <v>364</v>
      </c>
      <c r="B39" s="635"/>
      <c r="C39" s="635">
        <f>ROUNDUP((C30+C32+10)*10*1000/C28/C22,0)</f>
        <v>2209</v>
      </c>
    </row>
    <row r="40" spans="1:4" hidden="1">
      <c r="A40" s="135" t="s">
        <v>417</v>
      </c>
      <c r="B40" s="135"/>
      <c r="C40" s="135">
        <f>MAX(C38,C39)</f>
        <v>2578</v>
      </c>
    </row>
    <row r="41" spans="1:4" hidden="1">
      <c r="A41" s="110" t="s">
        <v>360</v>
      </c>
      <c r="B41" s="110"/>
      <c r="C41" s="635">
        <f>INT(C18*(100-C19)/80)</f>
        <v>1125</v>
      </c>
    </row>
    <row r="42" spans="1:4" hidden="1">
      <c r="A42" s="135" t="s">
        <v>250</v>
      </c>
      <c r="B42" s="135"/>
      <c r="C42" s="135">
        <f>ROUNDUP((1000000000/C16)/C22,0)</f>
        <v>2581</v>
      </c>
    </row>
    <row r="43" spans="1:4" hidden="1">
      <c r="A43" s="135" t="s">
        <v>251</v>
      </c>
      <c r="B43" s="135"/>
      <c r="C43" s="135">
        <f>IF(C17=1,MAX(C24,C27,C40,C42),MAX(C24,C27,C40))</f>
        <v>2578</v>
      </c>
      <c r="D43" t="str">
        <f>DEC2HEX(C43)</f>
        <v>A12</v>
      </c>
    </row>
    <row r="44" spans="1:4" hidden="1">
      <c r="A44" s="110" t="s">
        <v>252</v>
      </c>
      <c r="B44" s="110"/>
      <c r="C44" s="635">
        <f>1000000/C52</f>
        <v>34.037918240920384</v>
      </c>
    </row>
    <row r="45" spans="1:4" hidden="1">
      <c r="A45" s="110" t="s">
        <v>253</v>
      </c>
      <c r="B45" s="110"/>
      <c r="C45" s="635">
        <f>12500*C18*(100-C19)</f>
        <v>1125000000</v>
      </c>
    </row>
    <row r="46" spans="1:4" hidden="1">
      <c r="A46" s="110" t="s">
        <v>254</v>
      </c>
      <c r="B46" s="110"/>
      <c r="C46" s="635">
        <f>IF((ROUNDDOWN((C45-(62+C13-36)*C31-62-C33-168+C29*24)/(C31+3),0)-12)&gt;C47,C47,ROUNDDOWN((C45-(62+C13-36)*C31-62-C33-168+C29*24)/(C31+3),0)-12)</f>
        <v>180000</v>
      </c>
    </row>
    <row r="47" spans="1:4" hidden="1">
      <c r="A47" s="110" t="s">
        <v>255</v>
      </c>
      <c r="B47" s="110"/>
      <c r="C47" s="635">
        <f>IF(C18=1000,180000,18000)</f>
        <v>180000</v>
      </c>
    </row>
    <row r="48" spans="1:4" hidden="1">
      <c r="A48" s="110" t="s">
        <v>256</v>
      </c>
      <c r="B48" s="110"/>
      <c r="C48" s="635">
        <f>((62+(C13-36))*C31+62+C33+168)+(C14+12)*(C31+3)</f>
        <v>3304946</v>
      </c>
    </row>
    <row r="49" spans="1:3" hidden="1">
      <c r="A49" s="110" t="s">
        <v>253</v>
      </c>
      <c r="B49" s="110"/>
      <c r="C49" s="635">
        <f>INT(1000000*C18*(100-C19)/80)</f>
        <v>1125000000</v>
      </c>
    </row>
    <row r="50" spans="1:3" hidden="1">
      <c r="A50" s="110" t="s">
        <v>257</v>
      </c>
      <c r="B50" s="110"/>
      <c r="C50" s="635">
        <f>IF((100-ROUNDDOWN(C48*10/(1250000*C18/10),0)-1)&lt;0,0,(100-ROUNDDOWN(C48*10/(1250000*C18/10),0)-1))</f>
        <v>99</v>
      </c>
    </row>
    <row r="51" spans="1:3" hidden="1">
      <c r="A51" s="110" t="s">
        <v>258</v>
      </c>
      <c r="B51" s="110"/>
      <c r="C51" s="635">
        <f>ROUNDDOWN((C45-(62+C13-36)*C31-62-C33-168+C29*24)/(C31+3),0)-12</f>
        <v>521476</v>
      </c>
    </row>
    <row r="52" spans="1:3" hidden="1">
      <c r="A52" s="110" t="s">
        <v>424</v>
      </c>
      <c r="B52" s="110"/>
      <c r="C52" s="635">
        <f>ROUNDUP(C43*C22/1000,0)</f>
        <v>29379</v>
      </c>
    </row>
    <row r="53" spans="1:3" hidden="1">
      <c r="A53" s="110" t="s">
        <v>425</v>
      </c>
      <c r="B53" s="110"/>
      <c r="C53" s="635">
        <f>ROUNDDOWN(1000000000/C52,0)</f>
        <v>34037</v>
      </c>
    </row>
    <row r="54" spans="1:3" hidden="1">
      <c r="A54" s="110" t="s">
        <v>416</v>
      </c>
      <c r="B54" s="110"/>
      <c r="C54" s="635">
        <f>ROUNDDOWN(C4*C53/10*IF(C12=8,1,2)/10*C5/10,0)</f>
        <v>107071143</v>
      </c>
    </row>
    <row r="55" spans="1:3" hidden="1">
      <c r="A55" s="110" t="s">
        <v>366</v>
      </c>
      <c r="B55" s="110"/>
      <c r="C55" s="635">
        <f>ROUNDDOWN((C54*10/(100-C19)*10),)</f>
        <v>118967936</v>
      </c>
    </row>
    <row r="56" spans="1:3" hidden="1">
      <c r="A56" s="110"/>
      <c r="B56" s="110"/>
      <c r="C56" s="635"/>
    </row>
    <row r="57" spans="1:3" hidden="1">
      <c r="A57" s="110" t="s">
        <v>262</v>
      </c>
      <c r="B57" s="110"/>
      <c r="C57" s="635">
        <f>ROUNDDOWN(2048/(4*C59),0)*4</f>
        <v>2048</v>
      </c>
    </row>
    <row r="58" spans="1:3" hidden="1">
      <c r="A58" s="110" t="s">
        <v>263</v>
      </c>
      <c r="B58" s="110"/>
      <c r="C58" s="635">
        <f>ROUNDDOWN(1536/(2*C60),0)*2</f>
        <v>1536</v>
      </c>
    </row>
    <row r="59" spans="1:3" hidden="1">
      <c r="A59" s="110" t="s">
        <v>264</v>
      </c>
      <c r="B59" s="110"/>
      <c r="C59" s="635">
        <f>IF(C6=1,C8,C6)</f>
        <v>1</v>
      </c>
    </row>
    <row r="60" spans="1:3" hidden="1">
      <c r="A60" s="110" t="s">
        <v>265</v>
      </c>
      <c r="B60" s="110"/>
      <c r="C60" s="635">
        <f>IF(C7=1,C9,C7)</f>
        <v>1</v>
      </c>
    </row>
    <row r="61" spans="1:3" hidden="1">
      <c r="A61" s="110" t="s">
        <v>266</v>
      </c>
      <c r="B61" s="110"/>
      <c r="C61" s="635">
        <f>ROUNDDOWN(C65/4,0)*4*C59</f>
        <v>2048</v>
      </c>
    </row>
    <row r="62" spans="1:3" hidden="1">
      <c r="A62" s="110" t="s">
        <v>267</v>
      </c>
      <c r="B62" s="110"/>
      <c r="C62" s="635">
        <f>ROUNDDOWN(C66/2,0)*2*C60</f>
        <v>1536</v>
      </c>
    </row>
    <row r="63" spans="1:3" hidden="1">
      <c r="A63" s="110" t="s">
        <v>268</v>
      </c>
      <c r="B63" s="110"/>
      <c r="C63" s="635">
        <f>ROUNDDOWN(C4/4,0)*4*C59</f>
        <v>2048</v>
      </c>
    </row>
    <row r="64" spans="1:3" hidden="1">
      <c r="A64" s="110" t="s">
        <v>269</v>
      </c>
      <c r="B64" s="110"/>
      <c r="C64" s="635">
        <f>ROUNDDOWN(C5/2,0)*2*C60</f>
        <v>1536</v>
      </c>
    </row>
    <row r="65" spans="1:10" hidden="1">
      <c r="A65" s="110" t="s">
        <v>270</v>
      </c>
      <c r="B65" s="110"/>
      <c r="C65" s="635">
        <f>ROUNDDOWN(C63/(4*C59),0)*4</f>
        <v>2048</v>
      </c>
    </row>
    <row r="66" spans="1:10" hidden="1">
      <c r="A66" s="110" t="s">
        <v>271</v>
      </c>
      <c r="B66" s="110"/>
      <c r="C66" s="635">
        <f>ROUNDDOWN(C64/(2*C60),0)*2</f>
        <v>1536</v>
      </c>
    </row>
    <row r="67" spans="1:10" hidden="1">
      <c r="A67" s="110"/>
      <c r="B67" s="110"/>
      <c r="C67" s="635"/>
    </row>
    <row r="68" spans="1:10" ht="14.25">
      <c r="A68" s="118" t="s">
        <v>272</v>
      </c>
      <c r="B68" s="118"/>
      <c r="C68" s="118"/>
    </row>
    <row r="69" spans="1:10" ht="14.25">
      <c r="A69" s="118" t="s">
        <v>252</v>
      </c>
      <c r="B69" s="118" t="s">
        <v>273</v>
      </c>
      <c r="C69" s="118">
        <f>ROUND(C44,2)</f>
        <v>34.04</v>
      </c>
      <c r="D69" s="120" t="str">
        <f>IF(J79=1,J75,"")</f>
        <v/>
      </c>
    </row>
    <row r="72" spans="1:10">
      <c r="J72" s="259" t="s">
        <v>418</v>
      </c>
    </row>
    <row r="73" spans="1:10">
      <c r="J73" s="259" t="s">
        <v>426</v>
      </c>
    </row>
    <row r="74" spans="1:10">
      <c r="J74" s="259" t="s">
        <v>427</v>
      </c>
    </row>
    <row r="75" spans="1:10">
      <c r="J75" t="s">
        <v>421</v>
      </c>
    </row>
    <row r="78" spans="1:10">
      <c r="J78" t="s">
        <v>422</v>
      </c>
    </row>
    <row r="79" spans="1:10">
      <c r="J79">
        <f>IF(OR(OR(C4&gt;C2,C4&lt;8),OR(C5&gt;C3,C5&lt;2)),1,0)</f>
        <v>0</v>
      </c>
    </row>
  </sheetData>
  <sheetProtection algorithmName="SHA-512" hashValue="DSc7yGLHbq0bEfQbAUewVp+o2r9mIO6W6d15OaJMWDqecyK3x/vjHuXX0ZDCfCYC0rPBeFd/QGDQTERcLrvXTg==" saltValue="wYWqWEParpZWniWXr6D0bg==" spinCount="100000" sheet="1" objects="1" scenarios="1" selectLockedCells="1"/>
  <phoneticPr fontId="37" type="noConversion"/>
  <conditionalFormatting sqref="C69">
    <cfRule type="expression" dxfId="48" priority="5" stopIfTrue="1">
      <formula>$J$8=1</formula>
    </cfRule>
  </conditionalFormatting>
  <dataValidations count="19">
    <dataValidation allowBlank="1" showErrorMessage="1" promptTitle="参数变化" prompt="该参数会根据当前生效的水平像素Binning、水平像素抽样变化" sqref="C2"/>
    <dataValidation type="whole" allowBlank="1" showInputMessage="1" showErrorMessage="1" errorTitle="Input parameter error" error="Input range:[0, 5000]" sqref="C11">
      <formula1>0</formula1>
      <formula2>5000</formula2>
    </dataValidation>
    <dataValidation type="custom" allowBlank="1" showInputMessage="1" showErrorMessage="1" errorTitle="Input parameter error" error="Input 1 or 2, and can not be entered when the 'BinningVertical' is not 1" sqref="C9">
      <formula1>AND(OR((C9=1),(C9=2)),C7=1)</formula1>
    </dataValidation>
    <dataValidation type="custom" allowBlank="1" showInputMessage="1" showErrorMessage="1" errorTitle="Input parameter error" error="Input 1 or 2, and can not be entered when the 'BinningHorizontal' is not 1" sqref="C8">
      <formula1>AND(OR((C8=1),(C8=2)),C6=1)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Title="Input parameter error" error="Input range:[8, 'WidthMax'],and is an integer multiple of 8" sqref="C4">
      <formula1>AND((C4&lt;=C2),(C4&gt;=8),(MOD(C4,8)=0))</formula1>
    </dataValidation>
    <dataValidation type="custom" allowBlank="1" showInputMessage="1" showErrorMessage="1" errorTitle="Input parameter error" error="in the range [2, 'HeightMax'], and is an integer multiple of 2" sqref="C5">
      <formula1>AND((C5&lt;=C3),(C5&gt;=2),(MOD(C5,2)=0))</formula1>
    </dataValidation>
    <dataValidation type="custom" allowBlank="1" showInputMessage="1" showErrorMessage="1" errorTitle="Input parameter error" error="Input 1 or 2 , and can not be entered when the 'DecimationHorizontal' is not 1" sqref="C6">
      <formula1>AND(OR((C6=1),(C6=2)),C8=1)</formula1>
    </dataValidation>
    <dataValidation type="custom" allowBlank="1" showInputMessage="1" showErrorMessage="1" errorTitle="Input parameter error" error="Input 1 or 2, and can not be entered when the 'DecimationVertical' is not 1" sqref="C7">
      <formula1>AND(OR((C7=1),(C7=2)),C9=1)</formula1>
    </dataValidation>
    <dataValidation type="whole" allowBlank="1" showInputMessage="1" showErrorMessage="1" errorTitle="Input parameter error" error="Input range:[0, 'GevSCPDMaxValue'], and is an integer multiple of 1" sqref="C14">
      <formula1>0</formula1>
      <formula2>C15</formula2>
    </dataValidation>
    <dataValidation type="whole" allowBlank="1" showInputMessage="1" showErrorMessage="1" errorTitle="Input parameter error" error="Input range:[20, 15000000]" sqref="C10">
      <formula1>20</formula1>
      <formula2>15000000</formula2>
    </dataValidation>
    <dataValidation type="whole" allowBlank="1" error="设置值超过包间隔范围" prompt="设置值应在预留带宽范围内" sqref="C20">
      <formula1>0</formula1>
      <formula2>C41</formula2>
    </dataValidation>
    <dataValidation type="custom" allowBlank="1" showInputMessage="1" showErrorMessage="1" errorTitle="Input parameter error" error="Input range:[512, 8192],and is an integer multiple of 4" sqref="C13">
      <formula1>AND((C13&lt;=8192),(C13&gt;=512),(MOD(C13,4)=0))</formula1>
    </dataValidation>
    <dataValidation type="custom" allowBlank="1" showInputMessage="1" showErrorMessage="1" errorTitle="Input parameter error" error="Input 8 or 12" sqref="C12">
      <formula1>OR((C12=8),(C12=12))</formula1>
    </dataValidation>
    <dataValidation type="whole" allowBlank="1" showErrorMessage="1" error="设置值超过最大值" prompt="应在包间隔范围内" sqref="C15">
      <formula1>0</formula1>
      <formula2>C46</formula2>
    </dataValidation>
    <dataValidation type="custom" allowBlank="1" showErrorMessage="1" errorTitle="Input parameter error" error="Input range:[0.1, 10000]" prompt="应在包间隔范围内" sqref="C16">
      <formula1>AND(TRUNC(C16,1)=C16,(C16&gt;=0.1),(C16&lt;=10000))</formula1>
    </dataValidation>
    <dataValidation type="custom" allowBlank="1" showErrorMessage="1" errorTitle="Input parameter error" error="Input 0 or 1" prompt="应在包间隔范围内" sqref="C17">
      <formula1>OR((C17=0),(C17=1))</formula1>
    </dataValidation>
    <dataValidation type="custom" allowBlank="1" showInputMessage="1" showErrorMessage="1" errorTitle="Input parameter error" error="Input 1000 or 100" sqref="C18">
      <formula1>OR((C18=1000),(C18=100))</formula1>
    </dataValidation>
    <dataValidation type="whole" allowBlank="1" showInputMessage="1" showErrorMessage="1" errorTitle="Input parameter error" error="Input range:[0, 'BandwidthReserveMaxValue'], and is an integer multiple of 1" sqref="C19">
      <formula1>0</formula1>
      <formula2>C20</formula2>
    </dataValidation>
  </dataValidations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opLeftCell="B1" workbookViewId="0">
      <selection activeCell="C7" sqref="C7"/>
    </sheetView>
  </sheetViews>
  <sheetFormatPr defaultColWidth="9" defaultRowHeight="13.5"/>
  <cols>
    <col min="1" max="1" width="15.75" hidden="1" customWidth="1"/>
    <col min="2" max="2" width="28.5" customWidth="1"/>
    <col min="3" max="3" width="16.375" customWidth="1"/>
    <col min="9" max="9" width="9" customWidth="1"/>
    <col min="10" max="10" width="25.75" hidden="1" customWidth="1"/>
  </cols>
  <sheetData>
    <row r="1" spans="1:4" ht="15.75" customHeight="1">
      <c r="A1" s="104" t="s">
        <v>197</v>
      </c>
      <c r="B1" s="104"/>
      <c r="C1" s="107"/>
    </row>
    <row r="2" spans="1:4">
      <c r="A2" s="104" t="s">
        <v>198</v>
      </c>
      <c r="B2" s="104" t="s">
        <v>199</v>
      </c>
      <c r="C2" s="104">
        <f>C55</f>
        <v>2448</v>
      </c>
    </row>
    <row r="3" spans="1:4">
      <c r="A3" s="104" t="s">
        <v>200</v>
      </c>
      <c r="B3" s="104" t="s">
        <v>201</v>
      </c>
      <c r="C3" s="104">
        <f>C56</f>
        <v>2048</v>
      </c>
    </row>
    <row r="4" spans="1:4">
      <c r="A4" s="104" t="s">
        <v>202</v>
      </c>
      <c r="B4" s="104" t="s">
        <v>203</v>
      </c>
      <c r="C4" s="107">
        <v>2448</v>
      </c>
      <c r="D4" s="105" t="str">
        <f>IF(OR(C4&gt;C2,C4&lt;8),J72,"")</f>
        <v/>
      </c>
    </row>
    <row r="5" spans="1:4">
      <c r="A5" s="104" t="s">
        <v>204</v>
      </c>
      <c r="B5" s="104" t="s">
        <v>205</v>
      </c>
      <c r="C5" s="107">
        <v>2048</v>
      </c>
      <c r="D5" s="105" t="str">
        <f>IF(OR(C5&gt;C3,C5&lt;2),J73,"")</f>
        <v/>
      </c>
    </row>
    <row r="6" spans="1:4">
      <c r="A6" s="104" t="s">
        <v>206</v>
      </c>
      <c r="B6" s="104" t="s">
        <v>207</v>
      </c>
      <c r="C6" s="107">
        <v>1</v>
      </c>
    </row>
    <row r="7" spans="1:4">
      <c r="A7" s="104" t="s">
        <v>208</v>
      </c>
      <c r="B7" s="104" t="s">
        <v>209</v>
      </c>
      <c r="C7" s="107">
        <v>1</v>
      </c>
    </row>
    <row r="8" spans="1:4">
      <c r="A8" s="104" t="s">
        <v>210</v>
      </c>
      <c r="B8" s="104" t="s">
        <v>211</v>
      </c>
      <c r="C8" s="107">
        <v>1</v>
      </c>
    </row>
    <row r="9" spans="1:4">
      <c r="A9" s="104" t="s">
        <v>212</v>
      </c>
      <c r="B9" s="104" t="s">
        <v>213</v>
      </c>
      <c r="C9" s="107">
        <v>1</v>
      </c>
    </row>
    <row r="10" spans="1:4">
      <c r="A10" s="104" t="s">
        <v>214</v>
      </c>
      <c r="B10" s="104" t="s">
        <v>215</v>
      </c>
      <c r="C10" s="107">
        <v>40000</v>
      </c>
    </row>
    <row r="11" spans="1:4">
      <c r="A11" s="104" t="s">
        <v>216</v>
      </c>
      <c r="B11" s="104" t="s">
        <v>217</v>
      </c>
      <c r="C11" s="107">
        <v>0</v>
      </c>
    </row>
    <row r="12" spans="1:4">
      <c r="A12" s="104" t="s">
        <v>218</v>
      </c>
      <c r="B12" s="104" t="s">
        <v>219</v>
      </c>
      <c r="C12" s="107">
        <v>8</v>
      </c>
    </row>
    <row r="13" spans="1:4">
      <c r="A13" s="104" t="s">
        <v>220</v>
      </c>
      <c r="B13" s="104" t="s">
        <v>221</v>
      </c>
      <c r="C13" s="107">
        <v>1500</v>
      </c>
    </row>
    <row r="14" spans="1:4">
      <c r="A14" s="104" t="s">
        <v>222</v>
      </c>
      <c r="B14" s="104" t="s">
        <v>223</v>
      </c>
      <c r="C14" s="107">
        <v>0</v>
      </c>
    </row>
    <row r="15" spans="1:4">
      <c r="A15" s="104" t="s">
        <v>224</v>
      </c>
      <c r="B15" s="104" t="s">
        <v>225</v>
      </c>
      <c r="C15" s="104">
        <f>C45</f>
        <v>180000</v>
      </c>
    </row>
    <row r="16" spans="1:4">
      <c r="A16" s="104" t="s">
        <v>226</v>
      </c>
      <c r="B16" s="104" t="s">
        <v>227</v>
      </c>
      <c r="C16" s="107">
        <v>21.4</v>
      </c>
    </row>
    <row r="17" spans="1:3">
      <c r="A17" s="104" t="s">
        <v>228</v>
      </c>
      <c r="B17" s="104" t="s">
        <v>229</v>
      </c>
      <c r="C17" s="107">
        <v>0</v>
      </c>
    </row>
    <row r="18" spans="1:3">
      <c r="A18" s="104" t="s">
        <v>230</v>
      </c>
      <c r="B18" s="104" t="s">
        <v>231</v>
      </c>
      <c r="C18" s="107">
        <v>1000</v>
      </c>
    </row>
    <row r="19" spans="1:3">
      <c r="A19" s="104" t="s">
        <v>232</v>
      </c>
      <c r="B19" s="104" t="s">
        <v>233</v>
      </c>
      <c r="C19" s="107">
        <v>10</v>
      </c>
    </row>
    <row r="20" spans="1:3">
      <c r="A20" s="104" t="s">
        <v>234</v>
      </c>
      <c r="B20" s="104" t="s">
        <v>235</v>
      </c>
      <c r="C20" s="104">
        <f>C49</f>
        <v>99</v>
      </c>
    </row>
    <row r="21" spans="1:3" ht="14.25" customHeight="1">
      <c r="A21" s="104"/>
      <c r="B21" s="104"/>
      <c r="C21" s="104"/>
    </row>
    <row r="22" spans="1:3" hidden="1">
      <c r="A22" s="110" t="s">
        <v>259</v>
      </c>
      <c r="B22" s="110"/>
      <c r="C22" s="110">
        <f>IF(C12=8,13441,26882)</f>
        <v>13441</v>
      </c>
    </row>
    <row r="23" spans="1:3" hidden="1">
      <c r="A23" s="117" t="s">
        <v>236</v>
      </c>
      <c r="B23" s="104"/>
      <c r="C23" s="110">
        <f>C16*10</f>
        <v>214</v>
      </c>
    </row>
    <row r="24" spans="1:3" hidden="1">
      <c r="A24" s="117" t="s">
        <v>237</v>
      </c>
      <c r="B24" s="110"/>
      <c r="C24" s="110">
        <f>(C5+32)</f>
        <v>2080</v>
      </c>
    </row>
    <row r="25" spans="1:3" hidden="1">
      <c r="A25" s="117" t="s">
        <v>238</v>
      </c>
      <c r="B25" s="110"/>
      <c r="C25" s="110">
        <f>MAX(ROUNDUP((C10*1000-13730)/C22,0),1)</f>
        <v>2975</v>
      </c>
    </row>
    <row r="26" spans="1:3" hidden="1">
      <c r="A26" s="117" t="s">
        <v>239</v>
      </c>
      <c r="B26" s="110"/>
      <c r="C26" s="110">
        <f>ROUNDUP(C11*1000/C51,0)</f>
        <v>0</v>
      </c>
    </row>
    <row r="27" spans="1:3" hidden="1">
      <c r="A27" s="117" t="s">
        <v>240</v>
      </c>
      <c r="B27" s="110"/>
      <c r="C27" s="110">
        <f>C25+C26+12</f>
        <v>2987</v>
      </c>
    </row>
    <row r="28" spans="1:3" hidden="1">
      <c r="A28" s="634" t="s">
        <v>313</v>
      </c>
      <c r="B28" s="635"/>
      <c r="C28" s="635">
        <v>1250</v>
      </c>
    </row>
    <row r="29" spans="1:3" hidden="1">
      <c r="A29" s="117" t="s">
        <v>241</v>
      </c>
      <c r="B29" s="110"/>
      <c r="C29" s="635">
        <v>0</v>
      </c>
    </row>
    <row r="30" spans="1:3" hidden="1">
      <c r="A30" s="117" t="s">
        <v>242</v>
      </c>
      <c r="B30" s="110"/>
      <c r="C30" s="134">
        <f>C4*C5*IF(C12=8,1,2)+C29*32</f>
        <v>5013504</v>
      </c>
    </row>
    <row r="31" spans="1:3" hidden="1">
      <c r="A31" s="117" t="s">
        <v>243</v>
      </c>
      <c r="B31" s="110"/>
      <c r="C31" s="635">
        <f>ROUNDDOWN((C4*C5*ROUNDUP(C12/8,0)+C29*36)/(C13-36),0)</f>
        <v>3424</v>
      </c>
    </row>
    <row r="32" spans="1:3" hidden="1">
      <c r="A32" s="117" t="s">
        <v>332</v>
      </c>
      <c r="B32" s="110"/>
      <c r="C32" s="110">
        <f>IF(C29=0,36,12)</f>
        <v>36</v>
      </c>
    </row>
    <row r="33" spans="1:3" hidden="1">
      <c r="A33" s="117" t="s">
        <v>244</v>
      </c>
      <c r="B33" s="110"/>
      <c r="C33" s="635">
        <f>C4*C5*ROUNDUP(C12/8,0)+C29*32-(C13-36)*C31</f>
        <v>768</v>
      </c>
    </row>
    <row r="34" spans="1:3" hidden="1">
      <c r="A34" s="636" t="s">
        <v>245</v>
      </c>
      <c r="B34" s="110"/>
      <c r="C34" s="635">
        <f>IF(C33=0,0,1)</f>
        <v>1</v>
      </c>
    </row>
    <row r="35" spans="1:3" ht="54" hidden="1">
      <c r="A35" s="636" t="s">
        <v>246</v>
      </c>
      <c r="B35" s="110"/>
      <c r="C35" s="635">
        <f>(C13+26)*C31+C34*(C33+62)</f>
        <v>5225854</v>
      </c>
    </row>
    <row r="36" spans="1:3" hidden="1">
      <c r="A36" s="636" t="s">
        <v>247</v>
      </c>
      <c r="B36" s="110"/>
      <c r="C36" s="635">
        <f>(C14+12)*(C34+C31+2)</f>
        <v>41124</v>
      </c>
    </row>
    <row r="37" spans="1:3" hidden="1">
      <c r="A37" s="636" t="s">
        <v>248</v>
      </c>
      <c r="B37" s="110"/>
      <c r="C37" s="635">
        <f>C35+C36+98+72</f>
        <v>5267148</v>
      </c>
    </row>
    <row r="38" spans="1:3" hidden="1">
      <c r="A38" s="635" t="s">
        <v>249</v>
      </c>
      <c r="B38" s="635"/>
      <c r="C38" s="635">
        <f>ROUNDUP(ROUNDUP(C37*1000000000/C44,0)*10/C22,0)</f>
        <v>3484</v>
      </c>
    </row>
    <row r="39" spans="1:3" hidden="1">
      <c r="A39" s="635" t="s">
        <v>364</v>
      </c>
      <c r="B39" s="635"/>
      <c r="C39" s="635">
        <f>ROUNDUP((C30+C32+10)*10*1000/C28/C22,0)</f>
        <v>2985</v>
      </c>
    </row>
    <row r="40" spans="1:3" hidden="1">
      <c r="A40" s="135" t="s">
        <v>417</v>
      </c>
      <c r="B40" s="135"/>
      <c r="C40" s="135">
        <f>MAX(C38,C39)</f>
        <v>3484</v>
      </c>
    </row>
    <row r="41" spans="1:3" hidden="1">
      <c r="A41" s="110" t="s">
        <v>360</v>
      </c>
      <c r="B41" s="110"/>
      <c r="C41" s="635">
        <f>INT(C18*(100-C19)/80)</f>
        <v>1125</v>
      </c>
    </row>
    <row r="42" spans="1:3" hidden="1">
      <c r="A42" s="135" t="s">
        <v>250</v>
      </c>
      <c r="B42" s="135"/>
      <c r="C42" s="135">
        <f>ROUNDUP((1000000000/C16)/C22,0)</f>
        <v>3477</v>
      </c>
    </row>
    <row r="43" spans="1:3" hidden="1">
      <c r="A43" s="637" t="s">
        <v>414</v>
      </c>
      <c r="B43" s="110"/>
      <c r="C43" s="110">
        <f>1000000/C53</f>
        <v>21.354289008947447</v>
      </c>
    </row>
    <row r="44" spans="1:3" hidden="1">
      <c r="A44" s="110" t="s">
        <v>253</v>
      </c>
      <c r="B44" s="110"/>
      <c r="C44" s="110">
        <f>12500*C18*(100-C19)</f>
        <v>1125000000</v>
      </c>
    </row>
    <row r="45" spans="1:3" hidden="1">
      <c r="A45" s="110" t="s">
        <v>254</v>
      </c>
      <c r="B45" s="110"/>
      <c r="C45" s="110">
        <f>IF((ROUNDDOWN((C44-(62+C13-36)*C29-62-C30-168+C28*24)/(C29+3),0)-12)&gt;C46,C46,ROUNDDOWN((C44-(62+C13-36)*C29-62-C30-168+C28*24)/(C29+3),0)-12)</f>
        <v>180000</v>
      </c>
    </row>
    <row r="46" spans="1:3" hidden="1">
      <c r="A46" s="110" t="s">
        <v>255</v>
      </c>
      <c r="B46" s="110"/>
      <c r="C46" s="110">
        <f>IF(C18=1000,180000,18000)</f>
        <v>180000</v>
      </c>
    </row>
    <row r="47" spans="1:3" hidden="1">
      <c r="A47" s="110" t="s">
        <v>256</v>
      </c>
      <c r="B47" s="110"/>
      <c r="C47" s="110">
        <f>((62+(C13-36))*C29+62+C30+168)+(C14+12)*(C29+3)</f>
        <v>5013770</v>
      </c>
    </row>
    <row r="48" spans="1:3" hidden="1">
      <c r="A48" s="110" t="s">
        <v>253</v>
      </c>
      <c r="B48" s="110"/>
      <c r="C48" s="110">
        <f>125000*C18</f>
        <v>125000000</v>
      </c>
    </row>
    <row r="49" spans="1:3" hidden="1">
      <c r="A49" s="110" t="s">
        <v>257</v>
      </c>
      <c r="B49" s="110"/>
      <c r="C49" s="110">
        <f>IF((100-ROUNDDOWN(C47*10/(1250000*C18/10),0)-1)&lt;0,0,(100-ROUNDDOWN(C47*10/(1250000*C18/10),0)-1))</f>
        <v>99</v>
      </c>
    </row>
    <row r="50" spans="1:3" hidden="1">
      <c r="A50" s="110" t="s">
        <v>258</v>
      </c>
      <c r="B50" s="110"/>
      <c r="C50" s="110">
        <f>ROUNDDOWN((C44-(62+C13-36)*C29-62-C30-168+C28*24)/(C29+3),0)-12</f>
        <v>373338743</v>
      </c>
    </row>
    <row r="51" spans="1:3" hidden="1">
      <c r="A51" s="110" t="s">
        <v>259</v>
      </c>
      <c r="B51" s="110"/>
      <c r="C51" s="110">
        <f>IF(C12=8,13441,26882)</f>
        <v>13441</v>
      </c>
    </row>
    <row r="52" spans="1:3" hidden="1">
      <c r="A52" s="637" t="s">
        <v>251</v>
      </c>
      <c r="B52" s="110"/>
      <c r="C52" s="110">
        <f>IF(C17=1,MAX(C24,C27,C40,C42),MAX(C24,C27,C40))</f>
        <v>3484</v>
      </c>
    </row>
    <row r="53" spans="1:3" hidden="1">
      <c r="A53" s="637" t="s">
        <v>261</v>
      </c>
      <c r="B53" s="110"/>
      <c r="C53" s="110">
        <f>ROUNDUP(C52*C22/1000,0)</f>
        <v>46829</v>
      </c>
    </row>
    <row r="54" spans="1:3" s="100" customFormat="1" hidden="1">
      <c r="A54" s="109"/>
      <c r="B54" s="109"/>
      <c r="C54" s="109"/>
    </row>
    <row r="55" spans="1:3" hidden="1">
      <c r="A55" s="110" t="s">
        <v>262</v>
      </c>
      <c r="B55" s="110"/>
      <c r="C55" s="110">
        <f>ROUNDDOWN(2448/(4*C57),0)*4</f>
        <v>2448</v>
      </c>
    </row>
    <row r="56" spans="1:3" hidden="1">
      <c r="A56" s="110" t="s">
        <v>263</v>
      </c>
      <c r="B56" s="110"/>
      <c r="C56" s="110">
        <f>ROUNDDOWN(2048/(2*C58),0)*2</f>
        <v>2048</v>
      </c>
    </row>
    <row r="57" spans="1:3" hidden="1">
      <c r="A57" s="110" t="s">
        <v>264</v>
      </c>
      <c r="B57" s="110"/>
      <c r="C57" s="110">
        <f>IF(C6=1,C8,C6)</f>
        <v>1</v>
      </c>
    </row>
    <row r="58" spans="1:3" hidden="1">
      <c r="A58" s="110" t="s">
        <v>265</v>
      </c>
      <c r="B58" s="110"/>
      <c r="C58" s="110">
        <f>IF(C7=1,C9,C7)</f>
        <v>1</v>
      </c>
    </row>
    <row r="59" spans="1:3" hidden="1">
      <c r="A59" s="110" t="s">
        <v>266</v>
      </c>
      <c r="B59" s="110"/>
      <c r="C59" s="110">
        <f>ROUNDDOWN(C63/4,0)*4*C57</f>
        <v>2448</v>
      </c>
    </row>
    <row r="60" spans="1:3" hidden="1">
      <c r="A60" s="110" t="s">
        <v>267</v>
      </c>
      <c r="B60" s="110"/>
      <c r="C60" s="110">
        <f>ROUNDDOWN(C64/2,0)*2*C58</f>
        <v>2048</v>
      </c>
    </row>
    <row r="61" spans="1:3" hidden="1">
      <c r="A61" s="110" t="s">
        <v>268</v>
      </c>
      <c r="B61" s="110"/>
      <c r="C61" s="110">
        <f>ROUNDDOWN(C4/4,0)*4*C57</f>
        <v>2448</v>
      </c>
    </row>
    <row r="62" spans="1:3" hidden="1">
      <c r="A62" s="110" t="s">
        <v>269</v>
      </c>
      <c r="B62" s="110"/>
      <c r="C62" s="110">
        <f>ROUNDDOWN(C5/2,0)*2*C58</f>
        <v>2048</v>
      </c>
    </row>
    <row r="63" spans="1:3" hidden="1">
      <c r="A63" s="110" t="s">
        <v>270</v>
      </c>
      <c r="B63" s="110"/>
      <c r="C63" s="110">
        <f>ROUNDDOWN(C61/(4*C57),0)*4</f>
        <v>2448</v>
      </c>
    </row>
    <row r="64" spans="1:3" hidden="1">
      <c r="A64" s="110" t="s">
        <v>271</v>
      </c>
      <c r="B64" s="110"/>
      <c r="C64" s="110">
        <f>ROUNDDOWN(C62/(2*C58),0)*2</f>
        <v>2048</v>
      </c>
    </row>
    <row r="65" spans="1:10" hidden="1">
      <c r="A65" s="110"/>
      <c r="B65" s="110"/>
      <c r="C65" s="110"/>
    </row>
    <row r="66" spans="1:10" ht="14.25" hidden="1">
      <c r="A66" s="118" t="s">
        <v>272</v>
      </c>
      <c r="B66" s="118"/>
      <c r="C66" s="118"/>
    </row>
    <row r="67" spans="1:10" ht="14.25">
      <c r="A67" s="118" t="s">
        <v>252</v>
      </c>
      <c r="B67" s="118" t="s">
        <v>273</v>
      </c>
      <c r="C67" s="118">
        <f>ROUND(C43,2)</f>
        <v>21.35</v>
      </c>
      <c r="D67" s="105" t="str">
        <f>IF(J78=1,J74,"")</f>
        <v/>
      </c>
    </row>
    <row r="71" spans="1:10" ht="27">
      <c r="J71" s="119" t="s">
        <v>274</v>
      </c>
    </row>
    <row r="72" spans="1:10">
      <c r="J72" s="259" t="s">
        <v>409</v>
      </c>
    </row>
    <row r="73" spans="1:10">
      <c r="J73" s="259" t="s">
        <v>276</v>
      </c>
    </row>
    <row r="74" spans="1:10">
      <c r="J74" t="s">
        <v>277</v>
      </c>
    </row>
    <row r="77" spans="1:10">
      <c r="J77" t="s">
        <v>278</v>
      </c>
    </row>
    <row r="78" spans="1:10">
      <c r="A78" t="str">
        <f>IF(J105=1,J101,"")</f>
        <v/>
      </c>
      <c r="J78">
        <f>IF(OR(OR(C4&gt;C2,C4&lt;8),OR(C5&gt;C3,C5&lt;2)),1,0)</f>
        <v>0</v>
      </c>
    </row>
  </sheetData>
  <sheetProtection algorithmName="SHA-512" hashValue="qkkrM43C66hJZfWbLSvFoWqlPcuzy/5WFgYCTiuohI92W5Jz9Retj33tRS5cdGvtCSspkSwrW7VKCm+hffrmdQ==" saltValue="bLaQY5CkhORUyFxyUzGRAg==" spinCount="100000" sheet="1" objects="1" scenarios="1" selectLockedCells="1"/>
  <phoneticPr fontId="37" type="noConversion"/>
  <dataValidations count="19"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="Input range:[2,'HeightMax'],and is an integer multiple of 2" sqref="C5">
      <formula1>AND((C5&lt;=C3),(C5&gt;=2),(MOD(C5,2)=0))</formula1>
    </dataValidation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whole" allowBlank="1" showErrorMessage="1" error="Set the value to exceed the maximum" prompt="应在包间隔范围内" sqref="C15">
      <formula1>0</formula1>
      <formula2>C45</formula2>
    </dataValidation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custom" allowBlank="1" showInputMessage="1" showErrorMessage="1" error="The input parameter value is 1 or 2, and cannot be entered if the horizontal pixel sampling is not 1" sqref="C6">
      <formula1>AND(OR((C6=1),(C6=2)),C8=1)</formula1>
    </dataValidation>
    <dataValidation type="custom" allowBlank="1" showInputMessage="1" showErrorMessage="1" error="The input parameter value is 1 or 2, and cannot be entered if the vertical pixel sampling is not 1" sqref="C7">
      <formula1>AND(OR((C7=1),(C7=2)),C9=1)</formula1>
    </dataValidation>
    <dataValidation type="custom" allowBlank="1" showInputMessage="1" showErrorMessage="1" error="The input parameter has a value of 1 or 2 and cannot be entered when the horizontal pixel Binning is not 1" sqref="C8">
      <formula1>AND(OR((C8=1),(C8=2)),C6=1)</formula1>
    </dataValidation>
    <dataValidation type="custom" allowBlank="1" showInputMessage="1" showErrorMessage="1" error="The input parameter value is 1 or 2 and cannot be entered when the vertical pixel Binning is not 1" sqref="C9">
      <formula1>AND(OR((C9=1),(C9=2)),C7=1)</formula1>
    </dataValidation>
    <dataValidation type="whole" allowBlank="1" showInputMessage="1" showErrorMessage="1" error="The input range :[20,15000000]" sqref="C10">
      <formula1>20</formula1>
      <formula2>15000000</formula2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Please enter 8 or 12" sqref="C12">
      <formula1>OR((C12=8),(C12=12))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custom" allowBlank="1" showErrorMessage="1" error="Set the value range :[ 0.1,10000.0], accurate to one decimal" prompt="应在包间隔范围内" sqref="C16">
      <formula1>AND(TRUNC(C16,1)=C16,(C16&gt;=0.1),(C16&lt;=10000))</formula1>
    </dataValidation>
    <dataValidation type="whole" allowBlank="1" showErrorMessage="1" error="The setting value exceeds the reserved bandwidth range" prompt="设置值应在预留带宽范围内" sqref="C20">
      <formula1>0</formula1>
      <formula2>C49</formula2>
    </dataValidation>
    <dataValidation type="custom" allowBlank="1" showErrorMessage="1" error="Please enter a 0 or 1" prompt="应在包间隔范围内" sqref="C17">
      <formula1>OR((C17=0),(C17=1))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</dataValidations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00"/>
  <sheetViews>
    <sheetView topLeftCell="B1" workbookViewId="0">
      <selection activeCell="AT111" sqref="AT111"/>
    </sheetView>
  </sheetViews>
  <sheetFormatPr defaultColWidth="9" defaultRowHeight="13.5"/>
  <cols>
    <col min="1" max="1" width="18.125" style="101" hidden="1" customWidth="1"/>
    <col min="2" max="2" width="23.375" style="101" customWidth="1"/>
    <col min="3" max="3" width="18.375" style="101" customWidth="1"/>
    <col min="4" max="4" width="14.125" style="101" customWidth="1"/>
    <col min="5" max="5" width="17.375" style="101" hidden="1" customWidth="1"/>
    <col min="6" max="6" width="15.5" style="101" hidden="1" customWidth="1"/>
    <col min="7" max="7" width="16.75" style="101" hidden="1" customWidth="1"/>
    <col min="8" max="9" width="9" style="101" hidden="1" customWidth="1"/>
    <col min="10" max="10" width="22.75" style="101" hidden="1" customWidth="1"/>
    <col min="11" max="11" width="18" style="101" hidden="1" customWidth="1"/>
    <col min="12" max="12" width="24.25" style="101" hidden="1" customWidth="1"/>
    <col min="13" max="15" width="9" style="101" hidden="1" customWidth="1"/>
    <col min="16" max="16" width="14.375" style="101" hidden="1" customWidth="1"/>
    <col min="17" max="17" width="25.5" style="101" hidden="1" customWidth="1"/>
    <col min="18" max="18" width="21.75" style="101" hidden="1" customWidth="1"/>
    <col min="19" max="21" width="9" style="101" hidden="1" customWidth="1"/>
    <col min="22" max="22" width="17.625" style="101" hidden="1" customWidth="1"/>
    <col min="23" max="36" width="9" style="101" hidden="1" customWidth="1"/>
    <col min="37" max="16384" width="9" style="101"/>
  </cols>
  <sheetData>
    <row r="1" spans="1:4" s="100" customFormat="1">
      <c r="A1" s="102" t="s">
        <v>197</v>
      </c>
      <c r="B1" s="102"/>
      <c r="C1" s="103"/>
    </row>
    <row r="2" spans="1:4" customFormat="1">
      <c r="A2" s="104" t="s">
        <v>198</v>
      </c>
      <c r="B2" s="104" t="s">
        <v>199</v>
      </c>
      <c r="C2" s="104">
        <f>G46</f>
        <v>2592</v>
      </c>
    </row>
    <row r="3" spans="1:4" customFormat="1">
      <c r="A3" s="104" t="s">
        <v>200</v>
      </c>
      <c r="B3" s="104" t="s">
        <v>201</v>
      </c>
      <c r="C3" s="104">
        <f>G47</f>
        <v>1944</v>
      </c>
    </row>
    <row r="4" spans="1:4" s="100" customFormat="1">
      <c r="A4" s="102" t="s">
        <v>202</v>
      </c>
      <c r="B4" s="102" t="s">
        <v>203</v>
      </c>
      <c r="C4" s="103">
        <v>2592</v>
      </c>
      <c r="D4" s="105" t="str">
        <f>IF(OR(C4&gt;C2,C4&lt;4),J22,"")</f>
        <v/>
      </c>
    </row>
    <row r="5" spans="1:4" s="100" customFormat="1">
      <c r="A5" s="102" t="s">
        <v>204</v>
      </c>
      <c r="B5" s="102" t="s">
        <v>205</v>
      </c>
      <c r="C5" s="103">
        <v>1944</v>
      </c>
      <c r="D5" s="106" t="str">
        <f>IF(OR(C5&gt;C3,C5&lt;2),J23,"")</f>
        <v/>
      </c>
    </row>
    <row r="6" spans="1:4" s="100" customFormat="1">
      <c r="A6" s="102" t="s">
        <v>214</v>
      </c>
      <c r="B6" s="102" t="s">
        <v>215</v>
      </c>
      <c r="C6" s="103">
        <v>40000</v>
      </c>
    </row>
    <row r="7" spans="1:4" s="100" customFormat="1">
      <c r="A7" s="102" t="s">
        <v>218</v>
      </c>
      <c r="B7" s="102" t="s">
        <v>219</v>
      </c>
      <c r="C7" s="103">
        <v>8</v>
      </c>
    </row>
    <row r="8" spans="1:4" s="100" customFormat="1">
      <c r="A8" s="102" t="s">
        <v>220</v>
      </c>
      <c r="B8" s="102" t="s">
        <v>221</v>
      </c>
      <c r="C8" s="103">
        <v>1500</v>
      </c>
    </row>
    <row r="9" spans="1:4" s="100" customFormat="1">
      <c r="A9" s="102" t="s">
        <v>222</v>
      </c>
      <c r="B9" s="102" t="s">
        <v>223</v>
      </c>
      <c r="C9" s="103">
        <v>0</v>
      </c>
    </row>
    <row r="10" spans="1:4" s="100" customFormat="1">
      <c r="A10" s="102" t="s">
        <v>224</v>
      </c>
      <c r="B10" s="102" t="s">
        <v>225</v>
      </c>
      <c r="C10" s="102">
        <f>M58</f>
        <v>42016</v>
      </c>
    </row>
    <row r="11" spans="1:4" s="100" customFormat="1">
      <c r="A11" s="102" t="s">
        <v>230</v>
      </c>
      <c r="B11" s="102" t="s">
        <v>231</v>
      </c>
      <c r="C11" s="103">
        <v>1000</v>
      </c>
    </row>
    <row r="12" spans="1:4" s="100" customFormat="1">
      <c r="A12" s="102" t="s">
        <v>232</v>
      </c>
      <c r="B12" s="102" t="s">
        <v>233</v>
      </c>
      <c r="C12" s="103">
        <v>10</v>
      </c>
    </row>
    <row r="13" spans="1:4" s="100" customFormat="1">
      <c r="A13" s="102" t="s">
        <v>234</v>
      </c>
      <c r="B13" s="102" t="s">
        <v>235</v>
      </c>
      <c r="C13" s="102">
        <f>M60</f>
        <v>96</v>
      </c>
    </row>
    <row r="14" spans="1:4" s="100" customFormat="1">
      <c r="A14" s="102" t="s">
        <v>280</v>
      </c>
      <c r="B14" s="103" t="s">
        <v>428</v>
      </c>
      <c r="C14" s="103">
        <v>0</v>
      </c>
    </row>
    <row r="15" spans="1:4" s="100" customFormat="1">
      <c r="A15" s="102" t="s">
        <v>226</v>
      </c>
      <c r="B15" s="102" t="s">
        <v>227</v>
      </c>
      <c r="C15" s="103">
        <v>23.3</v>
      </c>
    </row>
    <row r="16" spans="1:4" s="100" customFormat="1">
      <c r="A16" s="102" t="s">
        <v>228</v>
      </c>
      <c r="B16" s="102" t="s">
        <v>229</v>
      </c>
      <c r="C16" s="103">
        <v>0</v>
      </c>
    </row>
    <row r="17" spans="1:28" s="100" customFormat="1" ht="14.25">
      <c r="A17" s="114" t="s">
        <v>272</v>
      </c>
      <c r="B17" s="114"/>
      <c r="C17" s="114"/>
    </row>
    <row r="18" spans="1:28" s="100" customFormat="1" ht="14.25">
      <c r="A18" s="114" t="s">
        <v>252</v>
      </c>
      <c r="B18" s="114" t="s">
        <v>273</v>
      </c>
      <c r="C18" s="573">
        <f>M37</f>
        <v>21.248565721813776</v>
      </c>
      <c r="D18" s="106" t="str">
        <f>IF(J28=1,J24,"")</f>
        <v/>
      </c>
    </row>
    <row r="21" spans="1:28" hidden="1">
      <c r="J21" t="s">
        <v>418</v>
      </c>
    </row>
    <row r="22" spans="1:28" hidden="1">
      <c r="J22" s="115" t="s">
        <v>429</v>
      </c>
    </row>
    <row r="23" spans="1:28" hidden="1">
      <c r="J23" s="115" t="s">
        <v>427</v>
      </c>
    </row>
    <row r="24" spans="1:28" hidden="1">
      <c r="J24" t="s">
        <v>421</v>
      </c>
    </row>
    <row r="25" spans="1:28" hidden="1">
      <c r="J25" s="116"/>
    </row>
    <row r="26" spans="1:28" hidden="1">
      <c r="J26" s="116"/>
    </row>
    <row r="27" spans="1:28" hidden="1">
      <c r="J27" s="115" t="s">
        <v>422</v>
      </c>
    </row>
    <row r="28" spans="1:28" hidden="1">
      <c r="J28">
        <f>IF(OR(OR(C4&gt;C2,C4&lt;4),OR(C5&gt;C3,C5&lt;2)),1,0)</f>
        <v>0</v>
      </c>
    </row>
    <row r="29" spans="1:28" hidden="1"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</row>
    <row r="30" spans="1:28" hidden="1">
      <c r="E30" s="149" t="s">
        <v>430</v>
      </c>
      <c r="F30" s="149" t="s">
        <v>431</v>
      </c>
      <c r="G30" s="574" t="s">
        <v>432</v>
      </c>
      <c r="H30" s="575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730" t="s">
        <v>433</v>
      </c>
      <c r="W30" s="730"/>
      <c r="X30" s="730"/>
      <c r="Y30" s="730"/>
      <c r="Z30" s="730"/>
      <c r="AA30" s="730"/>
      <c r="AB30" s="730"/>
    </row>
    <row r="31" spans="1:28" ht="27" hidden="1">
      <c r="E31" s="734" t="s">
        <v>434</v>
      </c>
      <c r="F31" s="735"/>
      <c r="G31" s="735"/>
      <c r="H31" s="736"/>
      <c r="I31" s="166"/>
      <c r="J31" s="737" t="s">
        <v>435</v>
      </c>
      <c r="K31" s="738"/>
      <c r="L31" s="738"/>
      <c r="M31" s="738"/>
      <c r="N31" s="739"/>
      <c r="O31" s="166"/>
      <c r="P31" s="740" t="s">
        <v>436</v>
      </c>
      <c r="Q31" s="741"/>
      <c r="R31" s="741"/>
      <c r="S31" s="741"/>
      <c r="T31" s="742"/>
      <c r="U31" s="166"/>
      <c r="V31" s="620" t="s">
        <v>437</v>
      </c>
      <c r="W31" s="620" t="s">
        <v>438</v>
      </c>
      <c r="X31" s="620" t="s">
        <v>439</v>
      </c>
      <c r="Y31" s="620" t="s">
        <v>440</v>
      </c>
      <c r="Z31" s="620" t="s">
        <v>441</v>
      </c>
      <c r="AA31" s="620" t="s">
        <v>442</v>
      </c>
      <c r="AB31" s="620" t="s">
        <v>443</v>
      </c>
    </row>
    <row r="32" spans="1:28" ht="27" hidden="1">
      <c r="E32" s="576" t="s">
        <v>444</v>
      </c>
      <c r="F32" s="577" t="s">
        <v>438</v>
      </c>
      <c r="G32" s="577" t="s">
        <v>445</v>
      </c>
      <c r="H32" s="578" t="s">
        <v>446</v>
      </c>
      <c r="I32" s="166"/>
      <c r="J32" s="576" t="s">
        <v>444</v>
      </c>
      <c r="K32" s="577" t="s">
        <v>438</v>
      </c>
      <c r="L32" s="577" t="s">
        <v>447</v>
      </c>
      <c r="M32" s="577" t="s">
        <v>448</v>
      </c>
      <c r="N32" s="578" t="s">
        <v>449</v>
      </c>
      <c r="O32" s="166"/>
      <c r="P32" s="576" t="s">
        <v>444</v>
      </c>
      <c r="Q32" s="577" t="s">
        <v>438</v>
      </c>
      <c r="R32" s="577" t="s">
        <v>447</v>
      </c>
      <c r="S32" s="577" t="s">
        <v>450</v>
      </c>
      <c r="T32" s="578" t="s">
        <v>449</v>
      </c>
      <c r="U32" s="166"/>
      <c r="V32" s="731" t="s">
        <v>451</v>
      </c>
      <c r="W32" s="732"/>
      <c r="X32" s="732"/>
      <c r="Y32" s="732"/>
      <c r="Z32" s="732"/>
      <c r="AA32" s="732"/>
      <c r="AB32" s="733"/>
    </row>
    <row r="33" spans="5:28" ht="40.5" hidden="1">
      <c r="E33" s="719" t="s">
        <v>218</v>
      </c>
      <c r="F33" s="725"/>
      <c r="G33" s="725"/>
      <c r="H33" s="726"/>
      <c r="I33" s="166"/>
      <c r="J33" s="722" t="s">
        <v>252</v>
      </c>
      <c r="K33" s="723"/>
      <c r="L33" s="723"/>
      <c r="M33" s="723"/>
      <c r="N33" s="724"/>
      <c r="O33" s="166"/>
      <c r="P33" s="157" t="s">
        <v>386</v>
      </c>
      <c r="Q33" s="158" t="s">
        <v>452</v>
      </c>
      <c r="R33" s="158" t="s">
        <v>453</v>
      </c>
      <c r="S33" s="594">
        <v>7</v>
      </c>
      <c r="T33" s="184" t="s">
        <v>454</v>
      </c>
      <c r="U33" s="166"/>
      <c r="V33" s="158" t="s">
        <v>455</v>
      </c>
      <c r="W33" s="580" t="s">
        <v>456</v>
      </c>
      <c r="X33" s="22" t="s">
        <v>457</v>
      </c>
      <c r="Y33" s="580">
        <v>4</v>
      </c>
      <c r="Z33" s="580" t="str">
        <f t="shared" ref="Z33:Z41" si="0">Y33&amp;"(0x"&amp;DEC2HEX(Y33)&amp;")"</f>
        <v>4(0x4)</v>
      </c>
      <c r="AA33" s="608">
        <f>H45+8</f>
        <v>8</v>
      </c>
      <c r="AB33" s="608" t="str">
        <f>"0x"&amp;DEC2HEX(AA33)</f>
        <v>0x8</v>
      </c>
    </row>
    <row r="34" spans="5:28" ht="52.5" hidden="1" customHeight="1">
      <c r="E34" s="157" t="s">
        <v>458</v>
      </c>
      <c r="F34" s="158" t="s">
        <v>459</v>
      </c>
      <c r="G34" s="22">
        <v>8</v>
      </c>
      <c r="H34" s="579">
        <f>C7</f>
        <v>8</v>
      </c>
      <c r="I34" s="166"/>
      <c r="J34" s="591" t="s">
        <v>396</v>
      </c>
      <c r="K34" s="592" t="s">
        <v>259</v>
      </c>
      <c r="L34" s="593" t="s">
        <v>460</v>
      </c>
      <c r="M34" s="594">
        <f>ROUNDUP(AA40*1000/(S67*S66),0)</f>
        <v>20364</v>
      </c>
      <c r="N34" s="595" t="s">
        <v>461</v>
      </c>
      <c r="O34" s="166"/>
      <c r="P34" s="157" t="s">
        <v>387</v>
      </c>
      <c r="Q34" s="158" t="s">
        <v>462</v>
      </c>
      <c r="R34" s="158" t="s">
        <v>463</v>
      </c>
      <c r="S34" s="594">
        <v>1</v>
      </c>
      <c r="T34" s="184" t="s">
        <v>454</v>
      </c>
      <c r="U34" s="166"/>
      <c r="V34" s="621" t="s">
        <v>464</v>
      </c>
      <c r="W34" s="622" t="s">
        <v>465</v>
      </c>
      <c r="X34" s="622" t="s">
        <v>466</v>
      </c>
      <c r="Y34" s="622">
        <v>4</v>
      </c>
      <c r="Z34" s="622" t="str">
        <f t="shared" si="0"/>
        <v>4(0x4)</v>
      </c>
      <c r="AA34" s="621">
        <f>H44+8</f>
        <v>8</v>
      </c>
      <c r="AB34" s="621" t="str">
        <f t="shared" ref="AB34:AB41" si="1">"0x"&amp;DEC2HEX(AA34)</f>
        <v>0x8</v>
      </c>
    </row>
    <row r="35" spans="5:28" ht="87" hidden="1" customHeight="1">
      <c r="E35" s="719" t="s">
        <v>214</v>
      </c>
      <c r="F35" s="725"/>
      <c r="G35" s="725"/>
      <c r="H35" s="726"/>
      <c r="I35" s="166"/>
      <c r="J35" s="591" t="s">
        <v>467</v>
      </c>
      <c r="K35" s="592" t="s">
        <v>251</v>
      </c>
      <c r="L35" s="596" t="s">
        <v>468</v>
      </c>
      <c r="M35" s="594">
        <f>IF(H39=0,AA39,M44)</f>
        <v>2311</v>
      </c>
      <c r="N35" s="595" t="s">
        <v>469</v>
      </c>
      <c r="O35" s="166"/>
      <c r="P35" s="157" t="s">
        <v>388</v>
      </c>
      <c r="Q35" s="158" t="s">
        <v>470</v>
      </c>
      <c r="R35" s="158" t="s">
        <v>471</v>
      </c>
      <c r="S35" s="594">
        <v>14</v>
      </c>
      <c r="T35" s="184" t="s">
        <v>454</v>
      </c>
      <c r="U35" s="166"/>
      <c r="V35" s="158" t="s">
        <v>472</v>
      </c>
      <c r="W35" s="580" t="s">
        <v>473</v>
      </c>
      <c r="X35" s="22" t="s">
        <v>474</v>
      </c>
      <c r="Y35" s="580">
        <v>1955</v>
      </c>
      <c r="Z35" s="580" t="str">
        <f t="shared" si="0"/>
        <v>1955(0x7A3)</v>
      </c>
      <c r="AA35" s="608">
        <f>AA33+H47</f>
        <v>1952</v>
      </c>
      <c r="AB35" s="608" t="str">
        <f t="shared" si="1"/>
        <v>0x7A0</v>
      </c>
    </row>
    <row r="36" spans="5:28" ht="40.5" hidden="1">
      <c r="E36" s="157" t="s">
        <v>475</v>
      </c>
      <c r="F36" s="158" t="s">
        <v>476</v>
      </c>
      <c r="G36" s="22">
        <v>40000</v>
      </c>
      <c r="H36" s="579">
        <f>C6</f>
        <v>40000</v>
      </c>
      <c r="I36" s="166"/>
      <c r="J36" s="591" t="s">
        <v>406</v>
      </c>
      <c r="K36" s="592" t="s">
        <v>251</v>
      </c>
      <c r="L36" s="597" t="s">
        <v>477</v>
      </c>
      <c r="M36" s="594">
        <f>ROUNDUP(M35*M34/1000,0)</f>
        <v>47062</v>
      </c>
      <c r="N36" s="595" t="s">
        <v>478</v>
      </c>
      <c r="O36" s="166"/>
      <c r="P36" s="157" t="s">
        <v>389</v>
      </c>
      <c r="Q36" s="158" t="s">
        <v>479</v>
      </c>
      <c r="R36" s="158" t="s">
        <v>480</v>
      </c>
      <c r="S36" s="594">
        <v>20</v>
      </c>
      <c r="T36" s="184" t="s">
        <v>454</v>
      </c>
      <c r="U36" s="166"/>
      <c r="V36" s="621" t="s">
        <v>481</v>
      </c>
      <c r="W36" s="622" t="s">
        <v>482</v>
      </c>
      <c r="X36" s="622" t="s">
        <v>483</v>
      </c>
      <c r="Y36" s="622">
        <v>2603</v>
      </c>
      <c r="Z36" s="622" t="str">
        <f t="shared" si="0"/>
        <v>2603(0xA2B)</v>
      </c>
      <c r="AA36" s="621">
        <f>AA34+H46-1</f>
        <v>2599</v>
      </c>
      <c r="AB36" s="621" t="str">
        <f t="shared" si="1"/>
        <v>0xA27</v>
      </c>
    </row>
    <row r="37" spans="5:28" ht="40.5" hidden="1">
      <c r="E37" s="157" t="s">
        <v>484</v>
      </c>
      <c r="F37" s="158" t="s">
        <v>485</v>
      </c>
      <c r="G37" s="158">
        <v>0</v>
      </c>
      <c r="H37" s="579">
        <v>0</v>
      </c>
      <c r="I37" s="166"/>
      <c r="J37" s="591" t="s">
        <v>486</v>
      </c>
      <c r="K37" s="592" t="s">
        <v>252</v>
      </c>
      <c r="L37" s="597" t="s">
        <v>487</v>
      </c>
      <c r="M37" s="598">
        <f>1000000/M36</f>
        <v>21.248565721813776</v>
      </c>
      <c r="N37" s="595" t="s">
        <v>488</v>
      </c>
      <c r="O37" s="166"/>
      <c r="P37" s="157" t="s">
        <v>390</v>
      </c>
      <c r="Q37" s="158" t="s">
        <v>489</v>
      </c>
      <c r="R37" s="158" t="s">
        <v>490</v>
      </c>
      <c r="S37" s="594">
        <v>8</v>
      </c>
      <c r="T37" s="184" t="s">
        <v>454</v>
      </c>
      <c r="U37" s="166"/>
      <c r="V37" s="621" t="s">
        <v>491</v>
      </c>
      <c r="W37" s="622" t="s">
        <v>492</v>
      </c>
      <c r="X37" s="622" t="s">
        <v>493</v>
      </c>
      <c r="Y37" s="622">
        <v>4224</v>
      </c>
      <c r="Z37" s="622" t="str">
        <f t="shared" si="0"/>
        <v>4224(0x1080)</v>
      </c>
      <c r="AA37" s="621">
        <f>H46</f>
        <v>2592</v>
      </c>
      <c r="AB37" s="621" t="str">
        <f t="shared" si="1"/>
        <v>0xA20</v>
      </c>
    </row>
    <row r="38" spans="5:28" ht="40.5" hidden="1">
      <c r="E38" s="719" t="s">
        <v>280</v>
      </c>
      <c r="F38" s="725"/>
      <c r="G38" s="725"/>
      <c r="H38" s="726"/>
      <c r="I38" s="166"/>
      <c r="J38" s="591"/>
      <c r="K38" s="592"/>
      <c r="L38" s="593"/>
      <c r="M38" s="594"/>
      <c r="N38" s="595"/>
      <c r="O38" s="166"/>
      <c r="P38" s="157" t="s">
        <v>391</v>
      </c>
      <c r="Q38" s="158" t="s">
        <v>494</v>
      </c>
      <c r="R38" s="158" t="s">
        <v>490</v>
      </c>
      <c r="S38" s="594">
        <v>8</v>
      </c>
      <c r="T38" s="184" t="s">
        <v>454</v>
      </c>
      <c r="U38" s="166"/>
      <c r="V38" s="158" t="s">
        <v>495</v>
      </c>
      <c r="W38" s="580" t="s">
        <v>496</v>
      </c>
      <c r="X38" s="22" t="s">
        <v>497</v>
      </c>
      <c r="Y38" s="580">
        <v>3136</v>
      </c>
      <c r="Z38" s="580" t="str">
        <f t="shared" si="0"/>
        <v>3136(0xC40)</v>
      </c>
      <c r="AA38" s="608">
        <f>H47</f>
        <v>1944</v>
      </c>
      <c r="AB38" s="608" t="str">
        <f t="shared" si="1"/>
        <v>0x798</v>
      </c>
    </row>
    <row r="39" spans="5:28" ht="27" hidden="1">
      <c r="E39" s="157" t="s">
        <v>428</v>
      </c>
      <c r="F39" s="158" t="s">
        <v>280</v>
      </c>
      <c r="G39" s="158">
        <v>0</v>
      </c>
      <c r="H39" s="579">
        <f>C14</f>
        <v>0</v>
      </c>
      <c r="I39" s="166"/>
      <c r="J39" s="591"/>
      <c r="K39" s="592"/>
      <c r="L39" s="597"/>
      <c r="M39" s="594"/>
      <c r="N39" s="595"/>
      <c r="O39" s="166"/>
      <c r="P39" s="157" t="s">
        <v>392</v>
      </c>
      <c r="Q39" s="158" t="s">
        <v>498</v>
      </c>
      <c r="R39" s="158" t="s">
        <v>499</v>
      </c>
      <c r="S39" s="594">
        <v>4</v>
      </c>
      <c r="T39" s="184" t="s">
        <v>454</v>
      </c>
      <c r="U39" s="166"/>
      <c r="V39" s="604" t="s">
        <v>500</v>
      </c>
      <c r="W39" s="604" t="s">
        <v>501</v>
      </c>
      <c r="X39" s="513" t="s">
        <v>502</v>
      </c>
      <c r="Y39" s="604">
        <v>2268</v>
      </c>
      <c r="Z39" s="604" t="str">
        <f t="shared" si="0"/>
        <v>2268(0x8DC)</v>
      </c>
      <c r="AA39" s="624">
        <f>MIN(MAX(M42,M43,M45,M46),65535)</f>
        <v>2311</v>
      </c>
      <c r="AB39" s="608" t="str">
        <f t="shared" si="1"/>
        <v>0x907</v>
      </c>
    </row>
    <row r="40" spans="5:28" ht="27" hidden="1">
      <c r="E40" s="719" t="s">
        <v>503</v>
      </c>
      <c r="F40" s="725"/>
      <c r="G40" s="725"/>
      <c r="H40" s="726"/>
      <c r="I40" s="166"/>
      <c r="J40" s="591"/>
      <c r="K40" s="592"/>
      <c r="L40" s="597"/>
      <c r="M40" s="594"/>
      <c r="N40" s="595"/>
      <c r="O40" s="166"/>
      <c r="P40" s="157" t="s">
        <v>331</v>
      </c>
      <c r="Q40" s="158" t="s">
        <v>330</v>
      </c>
      <c r="R40" s="158" t="s">
        <v>504</v>
      </c>
      <c r="S40" s="594">
        <v>12</v>
      </c>
      <c r="T40" s="184" t="s">
        <v>454</v>
      </c>
      <c r="U40" s="166"/>
      <c r="V40" s="158" t="s">
        <v>505</v>
      </c>
      <c r="W40" s="580" t="s">
        <v>506</v>
      </c>
      <c r="X40" s="22" t="s">
        <v>507</v>
      </c>
      <c r="Y40" s="580">
        <v>3040</v>
      </c>
      <c r="Z40" s="580" t="str">
        <f t="shared" si="0"/>
        <v>3040(0xBE0)</v>
      </c>
      <c r="AA40" s="608">
        <v>4480</v>
      </c>
      <c r="AB40" s="608" t="str">
        <f t="shared" si="1"/>
        <v>0x1180</v>
      </c>
    </row>
    <row r="41" spans="5:28" ht="45" hidden="1" customHeight="1">
      <c r="E41" s="169" t="s">
        <v>508</v>
      </c>
      <c r="F41" s="171" t="s">
        <v>509</v>
      </c>
      <c r="G41" s="171">
        <v>0</v>
      </c>
      <c r="H41" s="579">
        <v>0</v>
      </c>
      <c r="I41" s="166"/>
      <c r="J41" s="722" t="s">
        <v>510</v>
      </c>
      <c r="K41" s="723"/>
      <c r="L41" s="723"/>
      <c r="M41" s="723"/>
      <c r="N41" s="724"/>
      <c r="O41" s="166"/>
      <c r="P41" s="157" t="s">
        <v>341</v>
      </c>
      <c r="Q41" s="604" t="s">
        <v>511</v>
      </c>
      <c r="R41" s="158" t="s">
        <v>512</v>
      </c>
      <c r="S41" s="594">
        <f>S36+S37+S38</f>
        <v>36</v>
      </c>
      <c r="T41" s="184" t="s">
        <v>454</v>
      </c>
      <c r="U41" s="166"/>
      <c r="V41" s="604" t="s">
        <v>513</v>
      </c>
      <c r="W41" s="604" t="s">
        <v>514</v>
      </c>
      <c r="X41" s="513" t="s">
        <v>515</v>
      </c>
      <c r="Y41" s="604">
        <v>112</v>
      </c>
      <c r="Z41" s="604" t="str">
        <f t="shared" si="0"/>
        <v>112(0x70)</v>
      </c>
      <c r="AA41" s="625">
        <f>MIN(ROUNDUP(H36*1000/M34,0),65535)</f>
        <v>1965</v>
      </c>
      <c r="AB41" s="608" t="str">
        <f t="shared" si="1"/>
        <v>0x7AD</v>
      </c>
    </row>
    <row r="42" spans="5:28" ht="35.25" hidden="1" customHeight="1">
      <c r="E42" s="157"/>
      <c r="F42" s="580"/>
      <c r="G42" s="22"/>
      <c r="H42" s="579"/>
      <c r="I42" s="166"/>
      <c r="J42" s="599" t="s">
        <v>516</v>
      </c>
      <c r="K42" s="600" t="s">
        <v>517</v>
      </c>
      <c r="L42" s="592" t="s">
        <v>518</v>
      </c>
      <c r="M42" s="594">
        <f>H47+S68</f>
        <v>1979</v>
      </c>
      <c r="N42" s="595" t="s">
        <v>469</v>
      </c>
      <c r="O42" s="166"/>
      <c r="P42" s="157" t="s">
        <v>343</v>
      </c>
      <c r="Q42" s="604" t="s">
        <v>519</v>
      </c>
      <c r="R42" s="158" t="s">
        <v>520</v>
      </c>
      <c r="S42" s="594">
        <f>S33+S34+S35+S39</f>
        <v>26</v>
      </c>
      <c r="T42" s="184" t="s">
        <v>454</v>
      </c>
      <c r="U42" s="166"/>
      <c r="V42" s="158"/>
      <c r="W42" s="580"/>
      <c r="X42" s="22"/>
      <c r="Y42" s="580"/>
      <c r="Z42" s="580"/>
      <c r="AA42" s="608"/>
      <c r="AB42" s="608"/>
    </row>
    <row r="43" spans="5:28" ht="36" hidden="1" customHeight="1">
      <c r="E43" s="719" t="s">
        <v>521</v>
      </c>
      <c r="F43" s="725"/>
      <c r="G43" s="725"/>
      <c r="H43" s="726"/>
      <c r="I43" s="166"/>
      <c r="J43" s="599" t="s">
        <v>522</v>
      </c>
      <c r="K43" s="600" t="s">
        <v>523</v>
      </c>
      <c r="L43" s="601" t="s">
        <v>524</v>
      </c>
      <c r="M43" s="594">
        <f>ROUNDUP(H36*1000/M34,0)+S70</f>
        <v>1969</v>
      </c>
      <c r="N43" s="595" t="s">
        <v>469</v>
      </c>
      <c r="O43" s="166"/>
      <c r="P43" s="157" t="s">
        <v>345</v>
      </c>
      <c r="Q43" s="158" t="s">
        <v>344</v>
      </c>
      <c r="R43" s="158" t="s">
        <v>525</v>
      </c>
      <c r="S43" s="594">
        <f>64-S35-S39-S41</f>
        <v>10</v>
      </c>
      <c r="T43" s="184" t="s">
        <v>454</v>
      </c>
      <c r="U43" s="166"/>
      <c r="V43" s="166"/>
      <c r="W43" s="166"/>
      <c r="X43" s="166"/>
      <c r="Y43" s="166"/>
      <c r="Z43" s="166"/>
      <c r="AA43" s="166"/>
      <c r="AB43" s="166"/>
    </row>
    <row r="44" spans="5:28" ht="61.5" hidden="1" customHeight="1">
      <c r="E44" s="157" t="s">
        <v>526</v>
      </c>
      <c r="F44" s="158" t="s">
        <v>527</v>
      </c>
      <c r="G44" s="581">
        <v>0</v>
      </c>
      <c r="H44" s="579">
        <v>0</v>
      </c>
      <c r="I44" s="166"/>
      <c r="J44" s="599" t="s">
        <v>528</v>
      </c>
      <c r="K44" s="600" t="s">
        <v>413</v>
      </c>
      <c r="L44" s="602" t="s">
        <v>529</v>
      </c>
      <c r="M44" s="594">
        <f>MAX(M42+M43+ROUNDUP(1000*S69/M34,0),M45)</f>
        <v>4056</v>
      </c>
      <c r="N44" s="595" t="s">
        <v>469</v>
      </c>
      <c r="O44" s="166"/>
      <c r="P44" s="727" t="s">
        <v>530</v>
      </c>
      <c r="Q44" s="728"/>
      <c r="R44" s="728"/>
      <c r="S44" s="728"/>
      <c r="T44" s="729"/>
      <c r="U44" s="166"/>
      <c r="V44" s="730" t="s">
        <v>531</v>
      </c>
      <c r="W44" s="730"/>
      <c r="X44" s="730"/>
      <c r="Y44" s="730"/>
      <c r="Z44" s="730"/>
      <c r="AA44" s="730"/>
      <c r="AB44" s="730"/>
    </row>
    <row r="45" spans="5:28" ht="48.75" hidden="1" customHeight="1">
      <c r="E45" s="157" t="s">
        <v>532</v>
      </c>
      <c r="F45" s="158" t="s">
        <v>533</v>
      </c>
      <c r="G45" s="581">
        <v>0</v>
      </c>
      <c r="H45" s="579">
        <v>0</v>
      </c>
      <c r="I45" s="166"/>
      <c r="J45" s="599" t="s">
        <v>534</v>
      </c>
      <c r="K45" s="600" t="s">
        <v>535</v>
      </c>
      <c r="L45" s="158" t="s">
        <v>536</v>
      </c>
      <c r="M45" s="594">
        <f>ROUNDUP(((1000000000/H50)/M34)*H49,0)</f>
        <v>0</v>
      </c>
      <c r="N45" s="595" t="s">
        <v>469</v>
      </c>
      <c r="O45" s="166"/>
      <c r="P45" s="576" t="s">
        <v>444</v>
      </c>
      <c r="Q45" s="577" t="s">
        <v>438</v>
      </c>
      <c r="R45" s="577" t="s">
        <v>447</v>
      </c>
      <c r="S45" s="577" t="s">
        <v>450</v>
      </c>
      <c r="T45" s="578" t="s">
        <v>449</v>
      </c>
      <c r="U45" s="166"/>
      <c r="V45" s="620" t="s">
        <v>437</v>
      </c>
      <c r="W45" s="620" t="s">
        <v>438</v>
      </c>
      <c r="X45" s="620" t="s">
        <v>537</v>
      </c>
      <c r="Y45" s="620" t="s">
        <v>440</v>
      </c>
      <c r="Z45" s="620" t="s">
        <v>441</v>
      </c>
      <c r="AA45" s="620" t="s">
        <v>442</v>
      </c>
      <c r="AB45" s="620" t="s">
        <v>443</v>
      </c>
    </row>
    <row r="46" spans="5:28" ht="48.75" hidden="1" customHeight="1">
      <c r="E46" s="157" t="s">
        <v>538</v>
      </c>
      <c r="F46" s="158" t="s">
        <v>539</v>
      </c>
      <c r="G46" s="581">
        <v>2592</v>
      </c>
      <c r="H46" s="579">
        <f>C4</f>
        <v>2592</v>
      </c>
      <c r="I46" s="166"/>
      <c r="J46" s="599" t="s">
        <v>540</v>
      </c>
      <c r="K46" s="600" t="s">
        <v>417</v>
      </c>
      <c r="L46" s="175" t="s">
        <v>541</v>
      </c>
      <c r="M46" s="594">
        <f>S60</f>
        <v>2311</v>
      </c>
      <c r="N46" s="595" t="s">
        <v>469</v>
      </c>
      <c r="O46" s="166"/>
      <c r="P46" s="157" t="s">
        <v>333</v>
      </c>
      <c r="Q46" s="158" t="s">
        <v>542</v>
      </c>
      <c r="R46" s="158" t="s">
        <v>543</v>
      </c>
      <c r="S46" s="594">
        <f>IF(H54=0,36,12)</f>
        <v>36</v>
      </c>
      <c r="T46" s="184" t="s">
        <v>454</v>
      </c>
      <c r="U46" s="166"/>
      <c r="V46" s="731" t="s">
        <v>451</v>
      </c>
      <c r="W46" s="732"/>
      <c r="X46" s="732"/>
      <c r="Y46" s="732"/>
      <c r="Z46" s="732"/>
      <c r="AA46" s="732"/>
      <c r="AB46" s="733"/>
    </row>
    <row r="47" spans="5:28" ht="48" hidden="1" customHeight="1">
      <c r="E47" s="157" t="s">
        <v>544</v>
      </c>
      <c r="F47" s="158" t="s">
        <v>545</v>
      </c>
      <c r="G47" s="581">
        <v>1944</v>
      </c>
      <c r="H47" s="579">
        <f>C5</f>
        <v>1944</v>
      </c>
      <c r="I47" s="166"/>
      <c r="J47" s="706" t="s">
        <v>546</v>
      </c>
      <c r="K47" s="707"/>
      <c r="L47" s="707"/>
      <c r="M47" s="707"/>
      <c r="N47" s="708"/>
      <c r="O47" s="166"/>
      <c r="P47" s="157" t="s">
        <v>335</v>
      </c>
      <c r="Q47" s="158" t="s">
        <v>547</v>
      </c>
      <c r="R47" s="158" t="s">
        <v>548</v>
      </c>
      <c r="S47" s="594">
        <v>10</v>
      </c>
      <c r="T47" s="184" t="s">
        <v>454</v>
      </c>
      <c r="U47" s="166"/>
      <c r="V47" s="597" t="s">
        <v>549</v>
      </c>
      <c r="W47" s="597" t="s">
        <v>550</v>
      </c>
      <c r="X47" s="597" t="s">
        <v>551</v>
      </c>
      <c r="Y47" s="597">
        <v>0</v>
      </c>
      <c r="Z47" s="597" t="str">
        <f>Y47&amp;"(0x"&amp;DEC2HEX(Y47)&amp;")"</f>
        <v>0(0x0)</v>
      </c>
      <c r="AA47" s="597">
        <f>ROUNDUP(S69+M34*(M42+M43)/1000,0)</f>
        <v>82584</v>
      </c>
      <c r="AB47" s="597" t="str">
        <f>"0x"&amp;DEC2HEX(AA47)</f>
        <v>0x14298</v>
      </c>
    </row>
    <row r="48" spans="5:28" ht="55.5" hidden="1" customHeight="1">
      <c r="E48" s="710" t="s">
        <v>552</v>
      </c>
      <c r="F48" s="711"/>
      <c r="G48" s="711"/>
      <c r="H48" s="712"/>
      <c r="I48" s="166"/>
      <c r="J48" s="603" t="s">
        <v>553</v>
      </c>
      <c r="K48" s="604" t="s">
        <v>554</v>
      </c>
      <c r="L48" s="604" t="s">
        <v>555</v>
      </c>
      <c r="M48" s="605">
        <f>IF(M49=0,"-",S69+(H47*M34/1000))</f>
        <v>41774.056000000004</v>
      </c>
      <c r="N48" s="606" t="s">
        <v>478</v>
      </c>
      <c r="O48" s="166"/>
      <c r="P48" s="157" t="s">
        <v>337</v>
      </c>
      <c r="Q48" s="158" t="s">
        <v>556</v>
      </c>
      <c r="R48" s="158" t="s">
        <v>557</v>
      </c>
      <c r="S48" s="594">
        <f>H46*H47*IF(H34=8,1,2)</f>
        <v>5038848</v>
      </c>
      <c r="T48" s="184" t="s">
        <v>454</v>
      </c>
      <c r="U48" s="166"/>
      <c r="V48" s="166"/>
      <c r="W48" s="166"/>
      <c r="X48" s="166"/>
      <c r="Y48" s="166"/>
      <c r="Z48" s="166"/>
      <c r="AA48" s="166"/>
      <c r="AB48" s="166"/>
    </row>
    <row r="49" spans="5:28" ht="60" hidden="1" customHeight="1">
      <c r="E49" s="157" t="s">
        <v>558</v>
      </c>
      <c r="F49" s="582" t="s">
        <v>559</v>
      </c>
      <c r="G49" s="158">
        <v>0</v>
      </c>
      <c r="H49" s="579">
        <f>C16</f>
        <v>0</v>
      </c>
      <c r="I49" s="166"/>
      <c r="J49" s="157" t="s">
        <v>560</v>
      </c>
      <c r="K49" s="158" t="s">
        <v>561</v>
      </c>
      <c r="L49" s="158" t="s">
        <v>562</v>
      </c>
      <c r="M49" s="607">
        <f>MAX(M43-S70-H47,0)*(M34/1000)</f>
        <v>427.64400000000001</v>
      </c>
      <c r="N49" s="184" t="s">
        <v>478</v>
      </c>
      <c r="O49" s="166"/>
      <c r="P49" s="157" t="s">
        <v>339</v>
      </c>
      <c r="Q49" s="158" t="s">
        <v>563</v>
      </c>
      <c r="R49" s="580" t="s">
        <v>564</v>
      </c>
      <c r="S49" s="594">
        <f>S48+32*H54</f>
        <v>5038848</v>
      </c>
      <c r="T49" s="184" t="s">
        <v>454</v>
      </c>
      <c r="U49" s="166"/>
      <c r="V49" s="166"/>
      <c r="W49" s="166"/>
      <c r="X49" s="166"/>
      <c r="Y49" s="166"/>
      <c r="Z49" s="166"/>
      <c r="AA49" s="166"/>
      <c r="AB49" s="166"/>
    </row>
    <row r="50" spans="5:28" ht="69" hidden="1" customHeight="1">
      <c r="E50" s="158" t="s">
        <v>565</v>
      </c>
      <c r="F50" s="583" t="s">
        <v>566</v>
      </c>
      <c r="G50" s="158">
        <v>23</v>
      </c>
      <c r="H50" s="579">
        <f>C15</f>
        <v>23.3</v>
      </c>
      <c r="I50" s="166"/>
      <c r="J50" s="157" t="s">
        <v>567</v>
      </c>
      <c r="K50" s="158" t="s">
        <v>568</v>
      </c>
      <c r="L50" s="156" t="s">
        <v>569</v>
      </c>
      <c r="M50" s="608">
        <f>(M42+M43+ROUNDUP(1000*S69/M34,0))*(M34/1000)</f>
        <v>82596.384000000005</v>
      </c>
      <c r="N50" s="184" t="s">
        <v>478</v>
      </c>
      <c r="O50" s="166"/>
      <c r="P50" s="157" t="s">
        <v>347</v>
      </c>
      <c r="Q50" s="158" t="s">
        <v>346</v>
      </c>
      <c r="R50" s="158" t="s">
        <v>570</v>
      </c>
      <c r="S50" s="594">
        <f>INT(S49/(H57-S41))</f>
        <v>3441</v>
      </c>
      <c r="T50" s="184"/>
      <c r="U50" s="166"/>
      <c r="V50" s="166"/>
      <c r="W50" s="166"/>
      <c r="X50" s="166"/>
      <c r="Y50" s="166"/>
      <c r="Z50" s="166"/>
      <c r="AA50" s="166"/>
      <c r="AB50" s="166"/>
    </row>
    <row r="51" spans="5:28" ht="88.5" hidden="1" customHeight="1">
      <c r="E51" s="713" t="s">
        <v>571</v>
      </c>
      <c r="F51" s="714"/>
      <c r="G51" s="714"/>
      <c r="H51" s="715"/>
      <c r="I51" s="166"/>
      <c r="J51" s="220" t="s">
        <v>572</v>
      </c>
      <c r="K51" s="192" t="s">
        <v>573</v>
      </c>
      <c r="L51" s="192" t="s">
        <v>574</v>
      </c>
      <c r="M51" s="609">
        <f>M37*S48/1000000</f>
        <v>107.0682928902299</v>
      </c>
      <c r="N51" s="194" t="s">
        <v>575</v>
      </c>
      <c r="O51" s="166"/>
      <c r="P51" s="157" t="s">
        <v>349</v>
      </c>
      <c r="Q51" s="158" t="s">
        <v>576</v>
      </c>
      <c r="R51" s="158" t="s">
        <v>577</v>
      </c>
      <c r="S51" s="594">
        <f>S49-(H57-S41)*S50</f>
        <v>1224</v>
      </c>
      <c r="T51" s="184" t="s">
        <v>454</v>
      </c>
      <c r="U51" s="166"/>
      <c r="V51" s="166"/>
      <c r="W51" s="166"/>
      <c r="X51" s="166"/>
      <c r="Y51" s="166"/>
      <c r="Z51" s="166"/>
      <c r="AA51" s="166"/>
      <c r="AB51" s="166"/>
    </row>
    <row r="52" spans="5:28" ht="56.25" hidden="1" customHeight="1">
      <c r="E52" s="156" t="s">
        <v>578</v>
      </c>
      <c r="F52" s="584" t="s">
        <v>579</v>
      </c>
      <c r="G52" s="22">
        <v>0</v>
      </c>
      <c r="H52" s="579">
        <v>0</v>
      </c>
      <c r="I52" s="166"/>
      <c r="J52" s="166"/>
      <c r="K52" s="166"/>
      <c r="L52" s="166"/>
      <c r="M52" s="166"/>
      <c r="N52" s="166"/>
      <c r="O52" s="166"/>
      <c r="P52" s="156" t="s">
        <v>348</v>
      </c>
      <c r="Q52" s="175" t="s">
        <v>245</v>
      </c>
      <c r="R52" s="175" t="s">
        <v>580</v>
      </c>
      <c r="S52" s="594">
        <f>IF(MOD(S48,(H57-S41))=0,0,1)</f>
        <v>1</v>
      </c>
      <c r="T52" s="184"/>
      <c r="U52" s="166"/>
      <c r="V52" s="166"/>
      <c r="W52" s="166"/>
      <c r="X52" s="166"/>
      <c r="Y52" s="166"/>
      <c r="Z52" s="166"/>
      <c r="AA52" s="166"/>
      <c r="AB52" s="166"/>
    </row>
    <row r="53" spans="5:28" ht="53.25" hidden="1" customHeight="1">
      <c r="E53" s="156" t="s">
        <v>581</v>
      </c>
      <c r="F53" s="584" t="s">
        <v>579</v>
      </c>
      <c r="G53" s="175">
        <v>0</v>
      </c>
      <c r="H53" s="579">
        <v>0</v>
      </c>
      <c r="I53" s="166"/>
      <c r="J53" s="716" t="s">
        <v>582</v>
      </c>
      <c r="K53" s="717"/>
      <c r="L53" s="717"/>
      <c r="M53" s="717"/>
      <c r="N53" s="718"/>
      <c r="O53" s="166"/>
      <c r="P53" s="157" t="s">
        <v>351</v>
      </c>
      <c r="Q53" s="158" t="s">
        <v>583</v>
      </c>
      <c r="R53" s="175" t="s">
        <v>584</v>
      </c>
      <c r="S53" s="594">
        <f>IF(S51&lt;S43,S43,S51)</f>
        <v>1224</v>
      </c>
      <c r="T53" s="184" t="s">
        <v>454</v>
      </c>
      <c r="U53" s="166"/>
      <c r="V53" s="166"/>
      <c r="W53" s="166"/>
      <c r="X53" s="166"/>
      <c r="Y53" s="166"/>
      <c r="Z53" s="166"/>
      <c r="AA53" s="166"/>
      <c r="AB53" s="166"/>
    </row>
    <row r="54" spans="5:28" ht="48.75" hidden="1" customHeight="1">
      <c r="E54" s="21" t="s">
        <v>372</v>
      </c>
      <c r="F54" s="584" t="s">
        <v>579</v>
      </c>
      <c r="G54" s="22">
        <v>0</v>
      </c>
      <c r="H54" s="579">
        <v>0</v>
      </c>
      <c r="I54" s="166"/>
      <c r="J54" s="157" t="s">
        <v>444</v>
      </c>
      <c r="K54" s="158" t="s">
        <v>438</v>
      </c>
      <c r="L54" s="158" t="s">
        <v>447</v>
      </c>
      <c r="M54" s="158" t="s">
        <v>448</v>
      </c>
      <c r="N54" s="184" t="s">
        <v>449</v>
      </c>
      <c r="O54" s="166"/>
      <c r="P54" s="156" t="s">
        <v>353</v>
      </c>
      <c r="Q54" s="175" t="s">
        <v>585</v>
      </c>
      <c r="R54" s="175" t="s">
        <v>586</v>
      </c>
      <c r="S54" s="594">
        <f>S42+S41+S46</f>
        <v>98</v>
      </c>
      <c r="T54" s="184" t="s">
        <v>454</v>
      </c>
      <c r="U54" s="166"/>
      <c r="V54" s="166"/>
      <c r="W54" s="166"/>
      <c r="X54" s="166"/>
      <c r="Y54" s="166"/>
      <c r="Z54" s="166"/>
      <c r="AA54" s="166"/>
      <c r="AB54" s="166"/>
    </row>
    <row r="55" spans="5:28" ht="51" hidden="1" customHeight="1">
      <c r="E55" s="719" t="s">
        <v>587</v>
      </c>
      <c r="F55" s="720"/>
      <c r="G55" s="720"/>
      <c r="H55" s="721"/>
      <c r="I55" s="166"/>
      <c r="J55" s="157" t="s">
        <v>588</v>
      </c>
      <c r="K55" s="158" t="s">
        <v>589</v>
      </c>
      <c r="L55" s="582" t="s">
        <v>590</v>
      </c>
      <c r="M55" s="158">
        <f>1000000*M35*AA40/(S66*S67)</f>
        <v>47060363636.36364</v>
      </c>
      <c r="N55" s="184" t="s">
        <v>461</v>
      </c>
      <c r="O55" s="166"/>
      <c r="P55" s="156" t="s">
        <v>355</v>
      </c>
      <c r="Q55" s="175" t="s">
        <v>591</v>
      </c>
      <c r="R55" s="175" t="s">
        <v>586</v>
      </c>
      <c r="S55" s="594">
        <f>S42+S41+S47</f>
        <v>72</v>
      </c>
      <c r="T55" s="184" t="s">
        <v>454</v>
      </c>
      <c r="U55" s="166"/>
      <c r="V55" s="166"/>
      <c r="W55" s="166"/>
      <c r="X55" s="166"/>
      <c r="Y55" s="166"/>
      <c r="Z55" s="166"/>
      <c r="AA55" s="166"/>
      <c r="AB55" s="166"/>
    </row>
    <row r="56" spans="5:28" ht="83.25" hidden="1" customHeight="1">
      <c r="E56" s="157" t="s">
        <v>592</v>
      </c>
      <c r="F56" s="158" t="s">
        <v>593</v>
      </c>
      <c r="G56" s="585" t="s">
        <v>594</v>
      </c>
      <c r="H56" s="579">
        <f>C11</f>
        <v>1000</v>
      </c>
      <c r="I56" s="166"/>
      <c r="J56" s="157" t="s">
        <v>595</v>
      </c>
      <c r="K56" s="158" t="s">
        <v>596</v>
      </c>
      <c r="L56" s="158" t="s">
        <v>594</v>
      </c>
      <c r="M56" s="158">
        <v>160</v>
      </c>
      <c r="N56" s="184" t="s">
        <v>461</v>
      </c>
      <c r="O56" s="166"/>
      <c r="P56" s="156" t="s">
        <v>357</v>
      </c>
      <c r="Q56" s="175" t="s">
        <v>597</v>
      </c>
      <c r="R56" s="175" t="s">
        <v>598</v>
      </c>
      <c r="S56" s="594">
        <f>S50*(H57+S42)+S52*(S53+S42+S41)</f>
        <v>5252252</v>
      </c>
      <c r="T56" s="184" t="s">
        <v>454</v>
      </c>
      <c r="U56" s="166"/>
      <c r="V56" s="166"/>
      <c r="W56" s="166"/>
      <c r="X56" s="166"/>
      <c r="Y56" s="166"/>
      <c r="Z56" s="166"/>
      <c r="AA56" s="166"/>
      <c r="AB56" s="166"/>
    </row>
    <row r="57" spans="5:28" ht="66" hidden="1" customHeight="1">
      <c r="E57" s="157" t="s">
        <v>221</v>
      </c>
      <c r="F57" s="158" t="s">
        <v>599</v>
      </c>
      <c r="G57" s="585">
        <v>1500</v>
      </c>
      <c r="H57" s="579">
        <f>C8</f>
        <v>1500</v>
      </c>
      <c r="I57" s="166"/>
      <c r="J57" s="703" t="s">
        <v>600</v>
      </c>
      <c r="K57" s="704"/>
      <c r="L57" s="704"/>
      <c r="M57" s="704"/>
      <c r="N57" s="705"/>
      <c r="O57" s="166"/>
      <c r="P57" s="156" t="s">
        <v>358</v>
      </c>
      <c r="Q57" s="175" t="s">
        <v>601</v>
      </c>
      <c r="R57" s="175" t="s">
        <v>602</v>
      </c>
      <c r="S57" s="594">
        <f>(2+S52+S50)*(S40+H58)</f>
        <v>41328</v>
      </c>
      <c r="T57" s="184" t="s">
        <v>454</v>
      </c>
      <c r="U57" s="166"/>
      <c r="V57" s="166"/>
      <c r="W57" s="166"/>
      <c r="X57" s="166"/>
      <c r="Y57" s="166"/>
      <c r="Z57" s="166"/>
      <c r="AA57" s="166"/>
      <c r="AB57" s="166"/>
    </row>
    <row r="58" spans="5:28" ht="90.75" hidden="1" customHeight="1">
      <c r="E58" s="157" t="s">
        <v>223</v>
      </c>
      <c r="F58" s="158" t="s">
        <v>603</v>
      </c>
      <c r="G58" s="175">
        <v>0</v>
      </c>
      <c r="H58" s="579">
        <f>C9</f>
        <v>0</v>
      </c>
      <c r="I58" s="166"/>
      <c r="J58" s="591" t="s">
        <v>604</v>
      </c>
      <c r="K58" s="592" t="s">
        <v>600</v>
      </c>
      <c r="L58" s="582" t="s">
        <v>605</v>
      </c>
      <c r="M58" s="585">
        <f>MIN(M67,180000)</f>
        <v>42016</v>
      </c>
      <c r="N58" s="595" t="s">
        <v>454</v>
      </c>
      <c r="O58" s="166"/>
      <c r="P58" s="157" t="s">
        <v>359</v>
      </c>
      <c r="Q58" s="158" t="s">
        <v>606</v>
      </c>
      <c r="R58" s="163" t="s">
        <v>607</v>
      </c>
      <c r="S58" s="594">
        <f>S54+S55+S56+S57</f>
        <v>5293750</v>
      </c>
      <c r="T58" s="184" t="s">
        <v>454</v>
      </c>
      <c r="U58" s="166"/>
      <c r="V58" s="166"/>
      <c r="W58" s="166"/>
      <c r="X58" s="166"/>
      <c r="Y58" s="166"/>
      <c r="Z58" s="166"/>
      <c r="AA58" s="166"/>
      <c r="AB58" s="166"/>
    </row>
    <row r="59" spans="5:28" ht="69.75" hidden="1" customHeight="1">
      <c r="E59" s="220" t="s">
        <v>233</v>
      </c>
      <c r="F59" s="222" t="s">
        <v>608</v>
      </c>
      <c r="G59" s="221">
        <v>10</v>
      </c>
      <c r="H59" s="586">
        <f>C12</f>
        <v>10</v>
      </c>
      <c r="I59" s="166"/>
      <c r="J59" s="706" t="s">
        <v>609</v>
      </c>
      <c r="K59" s="707"/>
      <c r="L59" s="707"/>
      <c r="M59" s="707"/>
      <c r="N59" s="708"/>
      <c r="O59" s="166"/>
      <c r="P59" s="225" t="s">
        <v>361</v>
      </c>
      <c r="Q59" s="22" t="s">
        <v>360</v>
      </c>
      <c r="R59" s="22" t="s">
        <v>610</v>
      </c>
      <c r="S59" s="594">
        <f>INT(IF(H39=0,H56*(100-H59)/80,H56*100/80))</f>
        <v>1125</v>
      </c>
      <c r="T59" s="232" t="s">
        <v>611</v>
      </c>
      <c r="U59" s="166"/>
      <c r="V59" s="166"/>
      <c r="W59" s="166"/>
      <c r="X59" s="166"/>
      <c r="Y59" s="166"/>
      <c r="Z59" s="166"/>
      <c r="AA59" s="166"/>
      <c r="AB59" s="166"/>
    </row>
    <row r="60" spans="5:28" ht="101.25" hidden="1" customHeight="1">
      <c r="E60" s="587"/>
      <c r="F60" s="587"/>
      <c r="G60" s="587"/>
      <c r="H60" s="587"/>
      <c r="I60" s="166"/>
      <c r="J60" s="610" t="s">
        <v>612</v>
      </c>
      <c r="K60" s="611" t="s">
        <v>609</v>
      </c>
      <c r="L60" s="612" t="s">
        <v>613</v>
      </c>
      <c r="M60" s="613">
        <f>IF((100-M63-1)&lt;0,0,MIN(100-M63-1,99))</f>
        <v>96</v>
      </c>
      <c r="N60" s="614" t="s">
        <v>614</v>
      </c>
      <c r="O60" s="166"/>
      <c r="P60" s="615" t="s">
        <v>615</v>
      </c>
      <c r="Q60" s="192" t="s">
        <v>417</v>
      </c>
      <c r="R60" s="533" t="s">
        <v>616</v>
      </c>
      <c r="S60" s="623">
        <f>ROUNDUP(S58/S59*10*1000/M34,0)</f>
        <v>2311</v>
      </c>
      <c r="T60" s="194" t="s">
        <v>469</v>
      </c>
      <c r="U60" s="166"/>
      <c r="V60" s="166"/>
      <c r="W60" s="166"/>
      <c r="X60" s="166"/>
      <c r="Y60" s="166"/>
      <c r="Z60" s="166"/>
      <c r="AA60" s="166"/>
      <c r="AB60" s="166"/>
    </row>
    <row r="61" spans="5:28" hidden="1">
      <c r="E61" s="588"/>
      <c r="F61" s="588"/>
      <c r="G61" s="588"/>
      <c r="H61" s="588"/>
      <c r="I61" s="166"/>
      <c r="J61" s="616" t="s">
        <v>617</v>
      </c>
      <c r="K61" s="617" t="s">
        <v>618</v>
      </c>
      <c r="L61" s="618" t="s">
        <v>619</v>
      </c>
      <c r="M61" s="613">
        <f>ROUNDUP(1000000000/(65535*M34),2)</f>
        <v>0.75</v>
      </c>
      <c r="N61" s="619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</row>
    <row r="62" spans="5:28" hidden="1">
      <c r="E62" s="589"/>
      <c r="F62" s="589"/>
      <c r="G62" s="590"/>
      <c r="H62" s="590"/>
      <c r="I62" s="166"/>
      <c r="J62" s="616"/>
      <c r="K62" s="617"/>
      <c r="L62" s="618"/>
      <c r="M62" s="613">
        <f>ROUNDDOWN(M64/M61,0)</f>
        <v>1666666</v>
      </c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</row>
    <row r="63" spans="5:28" hidden="1">
      <c r="E63" s="59"/>
      <c r="F63" s="59"/>
      <c r="G63" s="59"/>
      <c r="H63" s="59"/>
      <c r="I63" s="166"/>
      <c r="J63" s="166"/>
      <c r="K63" s="166"/>
      <c r="L63" s="166"/>
      <c r="M63" s="613">
        <f>ROUNDDOWN(M70/M62,0)</f>
        <v>3</v>
      </c>
      <c r="N63" s="166"/>
      <c r="O63" s="166"/>
      <c r="P63" s="709" t="s">
        <v>620</v>
      </c>
      <c r="Q63" s="709"/>
      <c r="R63" s="709"/>
      <c r="S63" s="709"/>
      <c r="T63" s="709"/>
      <c r="U63" s="166"/>
      <c r="V63" s="166"/>
      <c r="W63" s="166"/>
      <c r="X63" s="166"/>
      <c r="Y63" s="166"/>
      <c r="Z63" s="166"/>
      <c r="AA63" s="166"/>
      <c r="AB63" s="166"/>
    </row>
    <row r="64" spans="5:28" ht="27" hidden="1">
      <c r="E64" s="204"/>
      <c r="F64" s="204"/>
      <c r="G64" s="204"/>
      <c r="H64" s="204"/>
      <c r="I64" s="166"/>
      <c r="J64" s="166"/>
      <c r="K64" s="166"/>
      <c r="L64" s="166"/>
      <c r="M64" s="166">
        <f>((H56/8)*10000)</f>
        <v>1250000</v>
      </c>
      <c r="N64" s="166"/>
      <c r="O64" s="166"/>
      <c r="P64" s="577" t="s">
        <v>444</v>
      </c>
      <c r="Q64" s="577" t="s">
        <v>438</v>
      </c>
      <c r="R64" s="577" t="s">
        <v>447</v>
      </c>
      <c r="S64" s="577" t="s">
        <v>450</v>
      </c>
      <c r="T64" s="577" t="s">
        <v>449</v>
      </c>
      <c r="U64" s="166"/>
      <c r="V64" s="166"/>
      <c r="W64" s="166"/>
      <c r="X64" s="166"/>
      <c r="Y64" s="166"/>
      <c r="Z64" s="166"/>
      <c r="AA64" s="166"/>
      <c r="AB64" s="166"/>
    </row>
    <row r="65" spans="5:28" ht="57" hidden="1" customHeight="1">
      <c r="E65" s="204"/>
      <c r="F65" s="204"/>
      <c r="G65" s="204"/>
      <c r="H65" s="204"/>
      <c r="I65" s="166"/>
      <c r="J65" s="166"/>
      <c r="K65" s="166"/>
      <c r="L65" s="166"/>
      <c r="M65" s="166">
        <f>M62*(100-H59)</f>
        <v>149999940</v>
      </c>
      <c r="N65" s="166"/>
      <c r="O65" s="166"/>
      <c r="P65" s="175" t="s">
        <v>373</v>
      </c>
      <c r="Q65" s="175" t="s">
        <v>621</v>
      </c>
      <c r="R65" s="175" t="s">
        <v>594</v>
      </c>
      <c r="S65" s="594">
        <v>20000</v>
      </c>
      <c r="T65" s="175" t="s">
        <v>622</v>
      </c>
      <c r="U65" s="166"/>
      <c r="V65" s="166"/>
      <c r="W65" s="166"/>
      <c r="X65" s="166"/>
      <c r="Y65" s="166"/>
      <c r="Z65" s="166"/>
      <c r="AA65" s="166"/>
      <c r="AB65" s="166"/>
    </row>
    <row r="66" spans="5:28" hidden="1">
      <c r="E66" s="204"/>
      <c r="F66" s="204"/>
      <c r="G66" s="204"/>
      <c r="H66" s="204"/>
      <c r="I66" s="166"/>
      <c r="J66" s="166"/>
      <c r="K66" s="166"/>
      <c r="L66" s="166"/>
      <c r="M66" s="166">
        <f>IF(M65&gt;M68,M65-M68,0)</f>
        <v>144747518</v>
      </c>
      <c r="N66" s="166"/>
      <c r="O66" s="166"/>
      <c r="P66" s="158" t="s">
        <v>286</v>
      </c>
      <c r="Q66" s="175" t="s">
        <v>623</v>
      </c>
      <c r="R66" s="175"/>
      <c r="S66" s="629">
        <v>4</v>
      </c>
      <c r="T66" s="597"/>
      <c r="U66" s="166"/>
      <c r="V66" s="166"/>
      <c r="W66" s="166"/>
      <c r="X66" s="166"/>
      <c r="Y66" s="166"/>
      <c r="Z66" s="166"/>
      <c r="AA66" s="166"/>
      <c r="AB66" s="166"/>
    </row>
    <row r="67" spans="5:28" hidden="1">
      <c r="E67" s="204"/>
      <c r="F67" s="204"/>
      <c r="G67" s="204"/>
      <c r="H67" s="204"/>
      <c r="I67" s="166"/>
      <c r="J67" s="166"/>
      <c r="K67" s="627" t="s">
        <v>600</v>
      </c>
      <c r="L67" s="166"/>
      <c r="M67" s="166">
        <f>ROUNDDOWN(M66/(S50+S52+2),0)-12</f>
        <v>42016</v>
      </c>
      <c r="N67" s="166"/>
      <c r="O67" s="166"/>
      <c r="P67" s="158" t="s">
        <v>624</v>
      </c>
      <c r="Q67" s="158" t="s">
        <v>625</v>
      </c>
      <c r="R67" s="175"/>
      <c r="S67" s="629">
        <v>55</v>
      </c>
      <c r="T67" s="175" t="s">
        <v>626</v>
      </c>
      <c r="U67" s="166"/>
      <c r="V67" s="166"/>
      <c r="W67" s="166"/>
      <c r="X67" s="166"/>
      <c r="Y67" s="166"/>
      <c r="Z67" s="166"/>
      <c r="AA67" s="166"/>
      <c r="AB67" s="166"/>
    </row>
    <row r="68" spans="5:28" ht="216" hidden="1">
      <c r="E68" s="204"/>
      <c r="F68" s="204"/>
      <c r="G68" s="204"/>
      <c r="H68" s="204"/>
      <c r="I68" s="166"/>
      <c r="J68" s="166"/>
      <c r="K68" s="627" t="s">
        <v>627</v>
      </c>
      <c r="L68" s="628" t="s">
        <v>628</v>
      </c>
      <c r="M68" s="166">
        <f>(H57-S41+M69)*S50+(M69+S51)+S46+S47+M69*2</f>
        <v>5252422</v>
      </c>
      <c r="N68" s="166"/>
      <c r="O68" s="166"/>
      <c r="P68" s="158" t="s">
        <v>629</v>
      </c>
      <c r="Q68" s="158" t="s">
        <v>630</v>
      </c>
      <c r="R68" s="630" t="s">
        <v>631</v>
      </c>
      <c r="S68" s="631">
        <v>35</v>
      </c>
      <c r="T68" s="597" t="s">
        <v>632</v>
      </c>
      <c r="U68" s="166"/>
      <c r="V68" s="166"/>
      <c r="W68" s="166"/>
      <c r="X68" s="166"/>
      <c r="Y68" s="166"/>
      <c r="Z68" s="166"/>
      <c r="AA68" s="166"/>
      <c r="AB68" s="166"/>
    </row>
    <row r="69" spans="5:28" ht="66.75" hidden="1" customHeight="1">
      <c r="E69" s="204"/>
      <c r="F69" s="204"/>
      <c r="G69" s="204"/>
      <c r="H69" s="204"/>
      <c r="I69" s="166"/>
      <c r="J69" s="166"/>
      <c r="K69" s="166"/>
      <c r="L69" s="627" t="s">
        <v>633</v>
      </c>
      <c r="M69" s="166">
        <v>62</v>
      </c>
      <c r="N69" s="166"/>
      <c r="O69" s="166"/>
      <c r="P69" s="175" t="s">
        <v>634</v>
      </c>
      <c r="Q69" s="513" t="s">
        <v>635</v>
      </c>
      <c r="R69" s="632" t="s">
        <v>636</v>
      </c>
      <c r="S69" s="633">
        <f>S71+1000/S72*9*5*S73+S74</f>
        <v>2186.44</v>
      </c>
      <c r="T69" s="597" t="s">
        <v>478</v>
      </c>
      <c r="U69" s="166"/>
      <c r="V69" s="166"/>
      <c r="W69" s="166"/>
      <c r="X69" s="166"/>
      <c r="Y69" s="166"/>
      <c r="Z69" s="166"/>
      <c r="AA69" s="166"/>
      <c r="AB69" s="166"/>
    </row>
    <row r="70" spans="5:28" ht="297" hidden="1">
      <c r="E70" s="204"/>
      <c r="F70" s="204"/>
      <c r="G70" s="204"/>
      <c r="H70" s="204"/>
      <c r="I70" s="166"/>
      <c r="J70" s="166"/>
      <c r="K70" s="627" t="s">
        <v>637</v>
      </c>
      <c r="L70" s="628" t="s">
        <v>638</v>
      </c>
      <c r="M70" s="166">
        <f>M68+(H58+12)*(S50+S52+2)</f>
        <v>5293750</v>
      </c>
      <c r="N70" s="166"/>
      <c r="O70" s="166"/>
      <c r="P70" s="175" t="s">
        <v>639</v>
      </c>
      <c r="Q70" s="175" t="s">
        <v>640</v>
      </c>
      <c r="R70" s="630" t="s">
        <v>631</v>
      </c>
      <c r="S70" s="629">
        <v>4</v>
      </c>
      <c r="T70" s="597" t="s">
        <v>632</v>
      </c>
      <c r="U70" s="166"/>
      <c r="V70" s="166"/>
      <c r="W70" s="166"/>
      <c r="X70" s="166"/>
      <c r="Y70" s="166"/>
      <c r="Z70" s="166"/>
      <c r="AA70" s="166"/>
      <c r="AB70" s="166"/>
    </row>
    <row r="71" spans="5:28" ht="31.5" hidden="1" customHeight="1">
      <c r="E71" s="587"/>
      <c r="F71" s="587"/>
      <c r="G71" s="587"/>
      <c r="H71" s="587"/>
      <c r="I71" s="166"/>
      <c r="J71" s="166"/>
      <c r="K71" s="166"/>
      <c r="L71" s="166"/>
      <c r="M71" s="166"/>
      <c r="N71" s="166"/>
      <c r="O71" s="166"/>
      <c r="P71" s="175" t="s">
        <v>641</v>
      </c>
      <c r="Q71" s="175" t="s">
        <v>642</v>
      </c>
      <c r="R71" s="630" t="s">
        <v>631</v>
      </c>
      <c r="S71" s="629">
        <v>7.94</v>
      </c>
      <c r="T71" s="597" t="s">
        <v>478</v>
      </c>
      <c r="U71" s="166"/>
      <c r="V71" s="166"/>
      <c r="W71" s="166"/>
      <c r="X71" s="166"/>
      <c r="Y71" s="166"/>
      <c r="Z71" s="166"/>
      <c r="AA71" s="166"/>
      <c r="AB71" s="166"/>
    </row>
    <row r="72" spans="5:28" hidden="1">
      <c r="E72" s="204"/>
      <c r="F72" s="204"/>
      <c r="G72" s="588"/>
      <c r="H72" s="588"/>
      <c r="I72" s="166"/>
      <c r="J72" s="166"/>
      <c r="K72" s="166"/>
      <c r="L72" s="166"/>
      <c r="M72" s="166"/>
      <c r="N72" s="166"/>
      <c r="O72" s="166"/>
      <c r="P72" s="175" t="s">
        <v>643</v>
      </c>
      <c r="Q72" s="175" t="s">
        <v>644</v>
      </c>
      <c r="R72" s="630" t="s">
        <v>631</v>
      </c>
      <c r="S72" s="629">
        <v>400</v>
      </c>
      <c r="T72" s="597" t="s">
        <v>645</v>
      </c>
      <c r="U72" s="166"/>
      <c r="V72" s="166"/>
      <c r="W72" s="166"/>
      <c r="X72" s="166"/>
      <c r="Y72" s="166"/>
      <c r="Z72" s="166"/>
      <c r="AA72" s="166"/>
      <c r="AB72" s="166"/>
    </row>
    <row r="73" spans="5:28" ht="27" hidden="1">
      <c r="E73" s="626"/>
      <c r="F73" s="626"/>
      <c r="G73" s="590"/>
      <c r="H73" s="590"/>
      <c r="I73" s="166"/>
      <c r="J73" s="166"/>
      <c r="K73" s="166"/>
      <c r="L73" s="166"/>
      <c r="M73" s="166"/>
      <c r="N73" s="166"/>
      <c r="O73" s="166"/>
      <c r="P73" s="175" t="s">
        <v>646</v>
      </c>
      <c r="Q73" s="175" t="s">
        <v>647</v>
      </c>
      <c r="R73" s="630" t="s">
        <v>631</v>
      </c>
      <c r="S73" s="629">
        <v>13</v>
      </c>
      <c r="T73" s="597"/>
      <c r="U73" s="166"/>
      <c r="V73" s="166"/>
      <c r="W73" s="166"/>
      <c r="X73" s="166"/>
      <c r="Y73" s="166"/>
      <c r="Z73" s="166"/>
      <c r="AA73" s="166"/>
      <c r="AB73" s="166"/>
    </row>
    <row r="74" spans="5:28" ht="42.75" hidden="1" customHeight="1">
      <c r="E74" s="204"/>
      <c r="F74" s="204"/>
      <c r="G74" s="588"/>
      <c r="H74" s="588"/>
      <c r="I74" s="166"/>
      <c r="J74" s="166"/>
      <c r="K74" s="166"/>
      <c r="L74" s="166"/>
      <c r="M74" s="166"/>
      <c r="N74" s="166"/>
      <c r="O74" s="166"/>
      <c r="P74" s="175" t="s">
        <v>648</v>
      </c>
      <c r="Q74" s="175" t="s">
        <v>649</v>
      </c>
      <c r="R74" s="630" t="s">
        <v>631</v>
      </c>
      <c r="S74" s="629">
        <v>716</v>
      </c>
      <c r="T74" s="597" t="s">
        <v>478</v>
      </c>
      <c r="U74" s="166"/>
      <c r="V74" s="166"/>
      <c r="W74" s="166"/>
      <c r="X74" s="166"/>
      <c r="Y74" s="166"/>
      <c r="Z74" s="166"/>
      <c r="AA74" s="166"/>
      <c r="AB74" s="166"/>
    </row>
    <row r="75" spans="5:28" hidden="1"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75"/>
      <c r="Q75" s="175"/>
      <c r="R75" s="630"/>
      <c r="S75" s="629"/>
      <c r="T75" s="597"/>
      <c r="U75" s="166"/>
      <c r="V75" s="166"/>
      <c r="W75" s="166"/>
      <c r="X75" s="166"/>
      <c r="Y75" s="166"/>
      <c r="Z75" s="166"/>
      <c r="AA75" s="166"/>
      <c r="AB75" s="166"/>
    </row>
    <row r="76" spans="5:28" hidden="1"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  <c r="X76" s="166"/>
      <c r="Y76" s="166"/>
      <c r="Z76" s="166"/>
      <c r="AA76" s="166"/>
      <c r="AB76" s="166"/>
    </row>
    <row r="77" spans="5:28" hidden="1"/>
    <row r="78" spans="5:28" hidden="1"/>
    <row r="79" spans="5:28" hidden="1"/>
    <row r="80" spans="5:28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</sheetData>
  <sheetProtection algorithmName="SHA-512" hashValue="ry3EieXFBeXJcRK9Rvyk53bctSowtSg2sbA3EsEi1uWa9WXSJI9gG8IO70jg7g+AKJQkBL7xUPEDYOPmaa/R0g==" saltValue="xNZgTr7jSmlqmWXUIxtBJA==" spinCount="100000" sheet="1" objects="1" scenarios="1"/>
  <mergeCells count="23">
    <mergeCell ref="V30:AB30"/>
    <mergeCell ref="E31:H31"/>
    <mergeCell ref="J31:N31"/>
    <mergeCell ref="P31:T31"/>
    <mergeCell ref="V32:AB32"/>
    <mergeCell ref="E33:H33"/>
    <mergeCell ref="J33:N33"/>
    <mergeCell ref="E35:H35"/>
    <mergeCell ref="E38:H38"/>
    <mergeCell ref="E40:H40"/>
    <mergeCell ref="J41:N41"/>
    <mergeCell ref="E43:H43"/>
    <mergeCell ref="P44:T44"/>
    <mergeCell ref="V44:AB44"/>
    <mergeCell ref="V46:AB46"/>
    <mergeCell ref="J57:N57"/>
    <mergeCell ref="J59:N59"/>
    <mergeCell ref="P63:T63"/>
    <mergeCell ref="J47:N47"/>
    <mergeCell ref="E48:H48"/>
    <mergeCell ref="E51:H51"/>
    <mergeCell ref="J53:N53"/>
    <mergeCell ref="E55:H55"/>
  </mergeCells>
  <phoneticPr fontId="37" type="noConversion"/>
  <dataValidations count="19">
    <dataValidation type="custom" allowBlank="1" showInputMessage="1" showErrorMessage="1" error="Input range:[4, 'WidthMax'],and is an integer multiple of 4" sqref="C4">
      <formula1>AND((C4&lt;=C2),(C4&gt;=4),(MOD(C4,4)=0))</formula1>
    </dataValidation>
    <dataValidation type="whole" allowBlank="1" showInputMessage="1" showErrorMessage="1" error="Set the value range:[ 0,'GevSCPDMaxValue']" sqref="C9">
      <formula1>0</formula1>
      <formula2>C10</formula2>
    </dataValidation>
    <dataValidation type="custom" allowBlank="1" showInputMessage="1" showErrorMessage="1" error="The input range :[512,8192], and the step size is 4" sqref="C8">
      <formula1>AND((C8&lt;=8192),(C8&gt;=512),(MOD(C8,4)=0))</formula1>
    </dataValidation>
    <dataValidation type="whole" allowBlank="1" showInputMessage="1" showErrorMessage="1" error="The input range :[20,1000000]" sqref="C6">
      <formula1>20</formula1>
      <formula2>1000000</formula2>
    </dataValidation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Input range:[2, 'HeightMax'],and is an integer multiple of 2" sqref="C5">
      <formula1>AND((C5&lt;=C3),(C5&gt;=2),(MOD(C5,2)=0))</formula1>
    </dataValidation>
    <dataValidation type="list" allowBlank="1" showInputMessage="1" showErrorMessage="1" error="Please input 8 or 12" sqref="C7">
      <formula1>"8,12"</formula1>
    </dataValidation>
    <dataValidation type="custom" allowBlank="1" showInputMessage="1" showErrorMessage="1" error="Please input 1000 or 100" sqref="C11">
      <formula1>OR((C11=1000),(C11=100))</formula1>
    </dataValidation>
    <dataValidation type="whole" allowBlank="1" showInputMessage="1" showErrorMessage="1" error="Set the value range [ 0,'BandwidthReserveMaxValue']" sqref="C12">
      <formula1>0</formula1>
      <formula2>C13</formula2>
    </dataValidation>
    <dataValidation type="list" allowBlank="1" showErrorMessage="1" error="Please input 0 or 1" prompt="应在包间隔范围内" sqref="C14 C16">
      <formula1>"0,1"</formula1>
    </dataValidation>
    <dataValidation type="custom" allowBlank="1" showErrorMessage="1" error="Set the value range :[ 0.8,10000.0], accurate to one decimal" prompt="应在包间隔范围内" sqref="C15">
      <formula1>AND(TRUNC(C15,1)=C15,(C15&gt;=0.8),(C15&lt;=10000))</formula1>
    </dataValidation>
    <dataValidation type="list" allowBlank="1" showInputMessage="1" showErrorMessage="1" promptTitle="图像高度" sqref="H34">
      <formula1>"8,12"</formula1>
    </dataValidation>
    <dataValidation type="whole" allowBlank="1" showInputMessage="1" showErrorMessage="1" error="曝光时间设置范围为20us-1.3s" promptTitle="图像高度" sqref="H36">
      <formula1>20</formula1>
      <formula2>13000000</formula2>
    </dataValidation>
    <dataValidation allowBlank="1" showInputMessage="1" showErrorMessage="1" promptTitle="图像高度" sqref="H37 H42 H44:H45 H56:H58 AA36:AA38"/>
    <dataValidation type="list" allowBlank="1" showInputMessage="1" showErrorMessage="1" promptTitle="图像高度" sqref="H39 H49 H52:H54">
      <formula1>"0,1"</formula1>
    </dataValidation>
    <dataValidation type="whole" allowBlank="1" showInputMessage="1" showErrorMessage="1" promptTitle="图像高度" sqref="H41">
      <formula1>0</formula1>
      <formula2>3000000</formula2>
    </dataValidation>
    <dataValidation type="decimal" allowBlank="1" showInputMessage="1" showErrorMessage="1" promptTitle="图像高度" sqref="H50">
      <formula1>0.75</formula1>
      <formula2>10000</formula2>
    </dataValidation>
    <dataValidation type="list" allowBlank="1" showInputMessage="1" showErrorMessage="1" sqref="H64">
      <formula1>"8,10"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117"/>
  <sheetViews>
    <sheetView topLeftCell="B4" workbookViewId="0">
      <selection activeCell="C10" sqref="C10"/>
    </sheetView>
  </sheetViews>
  <sheetFormatPr defaultColWidth="9" defaultRowHeight="13.5"/>
  <cols>
    <col min="1" max="1" width="9" hidden="1" customWidth="1"/>
    <col min="2" max="2" width="29.5" customWidth="1"/>
    <col min="3" max="3" width="11.75" customWidth="1"/>
    <col min="4" max="4" width="9.125" customWidth="1"/>
    <col min="5" max="8" width="9" customWidth="1"/>
  </cols>
  <sheetData>
    <row r="1" spans="1:53">
      <c r="A1" s="260" t="s">
        <v>197</v>
      </c>
      <c r="B1" s="260"/>
      <c r="C1" s="261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</row>
    <row r="2" spans="1:53">
      <c r="A2" s="262" t="s">
        <v>198</v>
      </c>
      <c r="B2" s="262" t="s">
        <v>199</v>
      </c>
      <c r="C2" s="262">
        <f>C28</f>
        <v>2592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</row>
    <row r="3" spans="1:53">
      <c r="A3" s="262" t="s">
        <v>200</v>
      </c>
      <c r="B3" s="262" t="s">
        <v>201</v>
      </c>
      <c r="C3" s="262">
        <f>C29</f>
        <v>2048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</row>
    <row r="4" spans="1:53">
      <c r="A4" s="260" t="s">
        <v>202</v>
      </c>
      <c r="B4" s="260" t="s">
        <v>203</v>
      </c>
      <c r="C4" s="107">
        <v>2592</v>
      </c>
      <c r="D4" s="263" t="str">
        <f>IF(OR(C4&gt;C2,C4&lt;4),D28,"")</f>
        <v/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</row>
    <row r="5" spans="1:53">
      <c r="A5" s="260" t="s">
        <v>204</v>
      </c>
      <c r="B5" s="260" t="s">
        <v>205</v>
      </c>
      <c r="C5" s="107">
        <v>2048</v>
      </c>
      <c r="D5" s="263" t="str">
        <f>IF(OR(C5&gt;C3,C5&lt;4),D29,"")</f>
        <v/>
      </c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</row>
    <row r="6" spans="1:53">
      <c r="A6" s="262" t="s">
        <v>206</v>
      </c>
      <c r="B6" s="262" t="s">
        <v>207</v>
      </c>
      <c r="C6" s="264">
        <v>1</v>
      </c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</row>
    <row r="7" spans="1:53">
      <c r="A7" s="262" t="s">
        <v>208</v>
      </c>
      <c r="B7" s="262" t="s">
        <v>209</v>
      </c>
      <c r="C7" s="264">
        <v>1</v>
      </c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</row>
    <row r="8" spans="1:53">
      <c r="A8" s="262" t="s">
        <v>210</v>
      </c>
      <c r="B8" s="262" t="s">
        <v>211</v>
      </c>
      <c r="C8" s="264">
        <v>1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</row>
    <row r="9" spans="1:53">
      <c r="A9" s="262" t="s">
        <v>212</v>
      </c>
      <c r="B9" s="262" t="s">
        <v>213</v>
      </c>
      <c r="C9" s="264">
        <v>1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</row>
    <row r="10" spans="1:53">
      <c r="A10" s="260" t="s">
        <v>214</v>
      </c>
      <c r="B10" s="260" t="s">
        <v>215</v>
      </c>
      <c r="C10" s="107">
        <v>40000</v>
      </c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</row>
    <row r="11" spans="1:53">
      <c r="A11" s="260" t="s">
        <v>216</v>
      </c>
      <c r="B11" s="260" t="s">
        <v>217</v>
      </c>
      <c r="C11" s="107">
        <v>0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</row>
    <row r="12" spans="1:53">
      <c r="A12" s="260" t="s">
        <v>218</v>
      </c>
      <c r="B12" s="260" t="s">
        <v>219</v>
      </c>
      <c r="C12" s="107">
        <v>8</v>
      </c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</row>
    <row r="13" spans="1:53">
      <c r="A13" s="260" t="s">
        <v>220</v>
      </c>
      <c r="B13" s="260" t="s">
        <v>221</v>
      </c>
      <c r="C13" s="107">
        <v>1500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</row>
    <row r="14" spans="1:53">
      <c r="A14" s="260" t="s">
        <v>222</v>
      </c>
      <c r="B14" s="260" t="s">
        <v>223</v>
      </c>
      <c r="C14" s="107">
        <v>0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</row>
    <row r="15" spans="1:53">
      <c r="A15" s="260" t="s">
        <v>224</v>
      </c>
      <c r="B15" s="260" t="s">
        <v>225</v>
      </c>
      <c r="C15" s="104">
        <f>J61</f>
        <v>180000</v>
      </c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</row>
    <row r="16" spans="1:53">
      <c r="A16" s="260" t="s">
        <v>226</v>
      </c>
      <c r="B16" s="260" t="s">
        <v>227</v>
      </c>
      <c r="C16" s="107">
        <v>22</v>
      </c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</row>
    <row r="17" spans="1:53">
      <c r="A17" s="260" t="s">
        <v>228</v>
      </c>
      <c r="B17" s="260" t="s">
        <v>229</v>
      </c>
      <c r="C17" s="107">
        <v>0</v>
      </c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</row>
    <row r="18" spans="1:53">
      <c r="A18" s="260" t="s">
        <v>230</v>
      </c>
      <c r="B18" s="260" t="s">
        <v>231</v>
      </c>
      <c r="C18" s="107">
        <v>1000</v>
      </c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</row>
    <row r="19" spans="1:53">
      <c r="A19" s="260" t="s">
        <v>232</v>
      </c>
      <c r="B19" s="260" t="s">
        <v>233</v>
      </c>
      <c r="C19" s="107">
        <v>10</v>
      </c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</row>
    <row r="20" spans="1:53">
      <c r="A20" s="260" t="s">
        <v>234</v>
      </c>
      <c r="B20" s="260" t="s">
        <v>235</v>
      </c>
      <c r="C20" s="104">
        <f>J63</f>
        <v>99</v>
      </c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</row>
    <row r="21" spans="1:53">
      <c r="A21" s="104" t="s">
        <v>280</v>
      </c>
      <c r="B21" s="104" t="s">
        <v>281</v>
      </c>
      <c r="C21" s="107">
        <v>0</v>
      </c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</row>
    <row r="22" spans="1:53">
      <c r="A22" s="260"/>
      <c r="B22" s="260"/>
      <c r="C22" s="104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</row>
    <row r="23" spans="1:53" ht="14.25">
      <c r="A23" s="265" t="s">
        <v>272</v>
      </c>
      <c r="B23" s="265"/>
      <c r="C23" s="118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</row>
    <row r="24" spans="1:53" ht="14.25" customHeight="1">
      <c r="A24" s="265" t="s">
        <v>252</v>
      </c>
      <c r="B24" s="265" t="s">
        <v>273</v>
      </c>
      <c r="C24" s="266">
        <f>D76</f>
        <v>20.167796063246207</v>
      </c>
      <c r="D24" s="263" t="str">
        <f>IF(E34=1,D30,"")</f>
        <v/>
      </c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</row>
    <row r="25" spans="1:53">
      <c r="A25" s="176"/>
      <c r="B25" s="176"/>
      <c r="C25" s="267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</row>
    <row r="26" spans="1:53" hidden="1">
      <c r="A26" s="176"/>
      <c r="B26" s="176"/>
      <c r="C26" s="267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</row>
    <row r="27" spans="1:53" hidden="1">
      <c r="A27" s="176"/>
      <c r="B27" s="176"/>
      <c r="C27" s="267"/>
      <c r="D27" s="268" t="s">
        <v>368</v>
      </c>
      <c r="E27" s="268"/>
      <c r="F27" s="268"/>
      <c r="G27" s="268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  <c r="AX27" s="176"/>
      <c r="AY27" s="176"/>
      <c r="AZ27" s="176"/>
      <c r="BA27" s="176"/>
    </row>
    <row r="28" spans="1:53" hidden="1">
      <c r="A28" s="269" t="s">
        <v>262</v>
      </c>
      <c r="B28" s="269"/>
      <c r="C28" s="269">
        <f>ROUNDDOWN(2592/(4*C30),0)*4</f>
        <v>2592</v>
      </c>
      <c r="D28" s="270" t="s">
        <v>650</v>
      </c>
      <c r="E28" s="268"/>
      <c r="F28" s="268"/>
      <c r="G28" s="268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</row>
    <row r="29" spans="1:53" hidden="1">
      <c r="A29" s="269" t="s">
        <v>263</v>
      </c>
      <c r="B29" s="269"/>
      <c r="C29" s="269">
        <f>ROUNDDOWN(2048/(4*C31),0)*4</f>
        <v>2048</v>
      </c>
      <c r="D29" s="270" t="s">
        <v>651</v>
      </c>
      <c r="E29" s="268"/>
      <c r="F29" s="268"/>
      <c r="G29" s="268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</row>
    <row r="30" spans="1:53" hidden="1">
      <c r="A30" s="269" t="s">
        <v>264</v>
      </c>
      <c r="B30" s="269"/>
      <c r="C30" s="269">
        <f>IF(C6=1,C8,C6)</f>
        <v>1</v>
      </c>
      <c r="D30" s="270" t="s">
        <v>277</v>
      </c>
      <c r="E30" s="268"/>
      <c r="F30" s="268"/>
      <c r="G30" s="268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</row>
    <row r="31" spans="1:53" hidden="1">
      <c r="A31" s="269" t="s">
        <v>265</v>
      </c>
      <c r="B31" s="269"/>
      <c r="C31" s="269">
        <f>IF(C7=1,C9,C7)</f>
        <v>1</v>
      </c>
      <c r="D31" s="268"/>
      <c r="E31" s="268"/>
      <c r="F31" s="268"/>
      <c r="G31" s="268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/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  <c r="AX31" s="176"/>
      <c r="AY31" s="176"/>
      <c r="AZ31" s="176"/>
      <c r="BA31" s="176"/>
    </row>
    <row r="32" spans="1:53" hidden="1">
      <c r="A32" s="176"/>
      <c r="B32" s="176"/>
      <c r="C32" s="176"/>
      <c r="D32" s="268"/>
      <c r="E32" s="268"/>
      <c r="F32" s="268"/>
      <c r="G32" s="268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76"/>
      <c r="AI32" s="176"/>
      <c r="AJ32" s="176"/>
      <c r="AK32" s="176"/>
      <c r="AL32" s="176"/>
      <c r="AM32" s="176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</row>
    <row r="33" spans="1:53" hidden="1">
      <c r="A33" s="176"/>
      <c r="B33" s="176"/>
      <c r="C33" s="176"/>
      <c r="D33" s="268" t="s">
        <v>278</v>
      </c>
      <c r="E33" s="268"/>
      <c r="F33" s="268"/>
      <c r="G33" s="268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</row>
    <row r="34" spans="1:53" hidden="1">
      <c r="A34" s="176"/>
      <c r="B34" s="176"/>
      <c r="C34" s="176"/>
      <c r="D34" s="268"/>
      <c r="E34" s="176">
        <f>IF(OR(OR(C4&gt;C2,C4&lt;4),OR(C5&gt;C3,C5&lt;4)),1,0)</f>
        <v>0</v>
      </c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</row>
    <row r="35" spans="1:53" hidden="1">
      <c r="A35" s="166"/>
      <c r="B35" s="166"/>
      <c r="C35" s="166"/>
      <c r="D35" s="166"/>
      <c r="E35" s="166"/>
      <c r="F35" s="176"/>
      <c r="G35" s="176"/>
      <c r="H35" s="176"/>
      <c r="I35" s="176"/>
      <c r="J35" s="176"/>
      <c r="K35" s="176"/>
      <c r="L35" s="298"/>
      <c r="M35" s="298"/>
      <c r="N35" s="298"/>
      <c r="O35" s="298"/>
      <c r="P35" s="298"/>
      <c r="Q35" s="298"/>
      <c r="R35" s="298"/>
      <c r="S35" s="298"/>
      <c r="T35" s="298"/>
      <c r="U35" s="298"/>
      <c r="V35" s="298"/>
      <c r="W35" s="298"/>
      <c r="X35" s="298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</row>
    <row r="36" spans="1:53" hidden="1">
      <c r="A36" s="271"/>
      <c r="B36" s="271"/>
      <c r="C36" s="271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71"/>
      <c r="V36" s="271"/>
      <c r="W36" s="271"/>
      <c r="X36" s="271"/>
      <c r="Y36" s="271"/>
      <c r="Z36" s="271"/>
      <c r="AA36" s="271"/>
      <c r="AB36" s="271"/>
      <c r="AC36" s="271"/>
      <c r="AD36" s="271"/>
      <c r="AE36" s="271"/>
      <c r="AF36" s="271"/>
      <c r="AG36" s="271"/>
      <c r="AH36" s="271"/>
      <c r="AI36" s="271"/>
      <c r="AJ36" s="271"/>
      <c r="AK36" s="271"/>
      <c r="AL36" s="271"/>
      <c r="AM36" s="271"/>
      <c r="AN36" s="271"/>
      <c r="AO36" s="271"/>
      <c r="AP36" s="271"/>
      <c r="AQ36" s="271"/>
      <c r="AR36" s="271"/>
      <c r="AS36" s="271"/>
      <c r="AT36" s="176"/>
      <c r="AU36" s="176"/>
      <c r="AV36" s="176"/>
      <c r="AW36" s="176"/>
      <c r="AX36" s="176"/>
      <c r="AY36" s="176"/>
      <c r="AZ36" s="176"/>
      <c r="BA36" s="176"/>
    </row>
    <row r="37" spans="1:53" ht="27" hidden="1">
      <c r="A37" s="149" t="s">
        <v>652</v>
      </c>
      <c r="B37" s="149" t="s">
        <v>653</v>
      </c>
      <c r="C37" s="150" t="s">
        <v>654</v>
      </c>
      <c r="D37" s="174"/>
      <c r="E37" s="174"/>
      <c r="F37" s="271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1"/>
      <c r="S37" s="174"/>
      <c r="T37" s="174"/>
      <c r="U37" s="174"/>
      <c r="V37" s="174"/>
      <c r="W37" s="174"/>
      <c r="X37" s="174"/>
      <c r="Y37" s="271"/>
      <c r="Z37" s="271"/>
      <c r="AA37" s="271"/>
      <c r="AB37" s="271"/>
      <c r="AC37" s="271"/>
      <c r="AD37" s="271"/>
      <c r="AE37" s="271"/>
      <c r="AF37" s="271"/>
      <c r="AG37" s="271"/>
      <c r="AH37" s="271"/>
      <c r="AI37" s="271"/>
      <c r="AJ37" s="271"/>
      <c r="AK37" s="271"/>
      <c r="AL37" s="271"/>
      <c r="AM37" s="271"/>
      <c r="AN37" s="271"/>
      <c r="AO37" s="271"/>
      <c r="AP37" s="271"/>
      <c r="AQ37" s="271"/>
      <c r="AR37" s="271"/>
      <c r="AS37" s="271"/>
      <c r="AT37" s="176"/>
      <c r="AU37" s="176"/>
      <c r="AV37" s="176"/>
      <c r="AW37" s="176"/>
      <c r="AX37" s="176"/>
      <c r="AY37" s="176"/>
      <c r="AZ37" s="176"/>
      <c r="BA37" s="176"/>
    </row>
    <row r="38" spans="1:53" ht="27" hidden="1">
      <c r="A38" s="506" t="s">
        <v>431</v>
      </c>
      <c r="B38" s="507" t="s">
        <v>430</v>
      </c>
      <c r="C38" s="508" t="s">
        <v>655</v>
      </c>
      <c r="D38" s="174"/>
      <c r="E38" s="174"/>
      <c r="F38" s="271"/>
      <c r="G38" s="770" t="s">
        <v>435</v>
      </c>
      <c r="H38" s="771"/>
      <c r="I38" s="771"/>
      <c r="J38" s="771"/>
      <c r="K38" s="772"/>
      <c r="L38" s="271"/>
      <c r="M38" s="770" t="s">
        <v>656</v>
      </c>
      <c r="N38" s="771"/>
      <c r="O38" s="771"/>
      <c r="P38" s="771"/>
      <c r="Q38" s="772"/>
      <c r="R38" s="271"/>
      <c r="S38" s="773" t="s">
        <v>657</v>
      </c>
      <c r="T38" s="774"/>
      <c r="U38" s="774"/>
      <c r="V38" s="774"/>
      <c r="W38" s="774"/>
      <c r="X38" s="774"/>
      <c r="Y38" s="774"/>
      <c r="Z38" s="774"/>
      <c r="AA38" s="774"/>
      <c r="AB38" s="774"/>
      <c r="AC38" s="774"/>
      <c r="AD38" s="774"/>
      <c r="AE38" s="774"/>
      <c r="AF38" s="774"/>
      <c r="AG38" s="774"/>
      <c r="AH38" s="774"/>
      <c r="AI38" s="774"/>
      <c r="AJ38" s="774"/>
      <c r="AK38" s="774"/>
      <c r="AL38" s="774"/>
      <c r="AM38" s="774"/>
      <c r="AN38" s="774"/>
      <c r="AO38" s="774"/>
      <c r="AP38" s="774"/>
      <c r="AQ38" s="774"/>
      <c r="AR38" s="774"/>
      <c r="AS38" s="774"/>
      <c r="AT38" s="176"/>
      <c r="AU38" s="176"/>
      <c r="AV38" s="176"/>
      <c r="AW38" s="176"/>
      <c r="AX38" s="176"/>
      <c r="AY38" s="176"/>
      <c r="AZ38" s="176"/>
      <c r="BA38" s="176"/>
    </row>
    <row r="39" spans="1:53" ht="54" hidden="1">
      <c r="A39" s="771" t="s">
        <v>658</v>
      </c>
      <c r="B39" s="771"/>
      <c r="C39" s="771"/>
      <c r="D39" s="771"/>
      <c r="E39" s="772"/>
      <c r="F39" s="271"/>
      <c r="G39" s="509" t="s">
        <v>444</v>
      </c>
      <c r="H39" s="510" t="s">
        <v>438</v>
      </c>
      <c r="I39" s="520" t="s">
        <v>447</v>
      </c>
      <c r="J39" s="510" t="s">
        <v>448</v>
      </c>
      <c r="K39" s="521" t="s">
        <v>449</v>
      </c>
      <c r="L39" s="271"/>
      <c r="M39" s="746" t="s">
        <v>659</v>
      </c>
      <c r="N39" s="730"/>
      <c r="O39" s="730"/>
      <c r="P39" s="730"/>
      <c r="Q39" s="747"/>
      <c r="R39" s="271"/>
      <c r="S39" s="536" t="s">
        <v>660</v>
      </c>
      <c r="T39" s="537" t="s">
        <v>661</v>
      </c>
      <c r="U39" s="537" t="s">
        <v>662</v>
      </c>
      <c r="V39" s="537" t="s">
        <v>663</v>
      </c>
      <c r="W39" s="537" t="s">
        <v>664</v>
      </c>
      <c r="X39" s="537" t="s">
        <v>665</v>
      </c>
      <c r="Y39" s="537" t="s">
        <v>666</v>
      </c>
      <c r="Z39" s="537" t="s">
        <v>667</v>
      </c>
      <c r="AA39" s="537" t="s">
        <v>668</v>
      </c>
      <c r="AB39" s="537" t="s">
        <v>669</v>
      </c>
      <c r="AC39" s="537" t="s">
        <v>670</v>
      </c>
      <c r="AD39" s="537" t="s">
        <v>671</v>
      </c>
      <c r="AE39" s="537" t="s">
        <v>672</v>
      </c>
      <c r="AF39" s="537" t="s">
        <v>673</v>
      </c>
      <c r="AG39" s="546" t="s">
        <v>674</v>
      </c>
      <c r="AH39" s="537" t="s">
        <v>675</v>
      </c>
      <c r="AI39" s="537" t="s">
        <v>676</v>
      </c>
      <c r="AJ39" s="537" t="s">
        <v>677</v>
      </c>
      <c r="AK39" s="537" t="s">
        <v>678</v>
      </c>
      <c r="AL39" s="537" t="s">
        <v>679</v>
      </c>
      <c r="AM39" s="537" t="s">
        <v>680</v>
      </c>
      <c r="AN39" s="547" t="s">
        <v>681</v>
      </c>
      <c r="AO39" s="547" t="s">
        <v>682</v>
      </c>
      <c r="AP39" s="553" t="s">
        <v>683</v>
      </c>
      <c r="AQ39" s="553" t="s">
        <v>684</v>
      </c>
      <c r="AR39" s="553" t="s">
        <v>685</v>
      </c>
      <c r="AS39" s="553" t="s">
        <v>686</v>
      </c>
      <c r="AT39" s="176"/>
      <c r="AU39" s="176"/>
      <c r="AV39" s="176"/>
      <c r="AW39" s="176"/>
      <c r="AX39" s="176"/>
      <c r="AY39" s="176"/>
      <c r="AZ39" s="176"/>
      <c r="BA39" s="176"/>
    </row>
    <row r="40" spans="1:53" ht="27" hidden="1">
      <c r="A40" s="510" t="s">
        <v>444</v>
      </c>
      <c r="B40" s="510" t="s">
        <v>687</v>
      </c>
      <c r="C40" s="510" t="s">
        <v>445</v>
      </c>
      <c r="D40" s="510" t="s">
        <v>446</v>
      </c>
      <c r="E40" s="511" t="s">
        <v>449</v>
      </c>
      <c r="F40" s="271"/>
      <c r="G40" s="746" t="s">
        <v>252</v>
      </c>
      <c r="H40" s="730"/>
      <c r="I40" s="730"/>
      <c r="J40" s="730"/>
      <c r="K40" s="747"/>
      <c r="L40" s="271"/>
      <c r="M40" s="509" t="s">
        <v>444</v>
      </c>
      <c r="N40" s="510" t="s">
        <v>438</v>
      </c>
      <c r="O40" s="510" t="s">
        <v>447</v>
      </c>
      <c r="P40" s="510" t="s">
        <v>688</v>
      </c>
      <c r="Q40" s="538" t="s">
        <v>449</v>
      </c>
      <c r="R40" s="271"/>
      <c r="S40" s="539" t="s">
        <v>689</v>
      </c>
      <c r="T40" s="179" t="s">
        <v>690</v>
      </c>
      <c r="U40" s="179" t="s">
        <v>691</v>
      </c>
      <c r="V40" s="513">
        <v>32800</v>
      </c>
      <c r="W40" s="179">
        <v>2</v>
      </c>
      <c r="X40" s="179">
        <v>3</v>
      </c>
      <c r="Y40" s="179">
        <v>32</v>
      </c>
      <c r="Z40" s="179">
        <v>8</v>
      </c>
      <c r="AA40" s="179">
        <v>15</v>
      </c>
      <c r="AB40" s="179">
        <v>8</v>
      </c>
      <c r="AC40" s="179">
        <v>2048</v>
      </c>
      <c r="AD40" s="179">
        <v>4</v>
      </c>
      <c r="AE40" s="179">
        <v>4096</v>
      </c>
      <c r="AF40" s="179">
        <v>3072</v>
      </c>
      <c r="AG40" s="548">
        <v>732</v>
      </c>
      <c r="AH40" s="513">
        <v>67</v>
      </c>
      <c r="AI40" s="513">
        <v>15</v>
      </c>
      <c r="AJ40" s="513">
        <v>1</v>
      </c>
      <c r="AK40" s="513">
        <v>1</v>
      </c>
      <c r="AL40" s="179">
        <v>100000</v>
      </c>
      <c r="AM40" s="179">
        <v>9</v>
      </c>
      <c r="AN40" s="549" t="s">
        <v>692</v>
      </c>
      <c r="AO40" s="549">
        <v>4</v>
      </c>
      <c r="AP40" s="232">
        <v>98460</v>
      </c>
      <c r="AQ40" s="232"/>
      <c r="AR40" s="232"/>
      <c r="AS40" s="232"/>
      <c r="AT40" s="176"/>
      <c r="AU40" s="176"/>
      <c r="AV40" s="176"/>
      <c r="AW40" s="176"/>
      <c r="AX40" s="176"/>
      <c r="AY40" s="176"/>
      <c r="AZ40" s="176"/>
      <c r="BA40" s="176"/>
    </row>
    <row r="41" spans="1:53" ht="67.5" hidden="1">
      <c r="A41" s="730" t="s">
        <v>218</v>
      </c>
      <c r="B41" s="730"/>
      <c r="C41" s="730"/>
      <c r="D41" s="730"/>
      <c r="E41" s="747"/>
      <c r="F41" s="271"/>
      <c r="G41" s="225" t="s">
        <v>396</v>
      </c>
      <c r="H41" s="179" t="s">
        <v>259</v>
      </c>
      <c r="I41" s="522" t="s">
        <v>693</v>
      </c>
      <c r="J41" s="523">
        <f>ROUNDUP(1000000*P47/P42,0)</f>
        <v>11438</v>
      </c>
      <c r="K41" s="232" t="s">
        <v>461</v>
      </c>
      <c r="L41" s="271"/>
      <c r="M41" s="156" t="s">
        <v>694</v>
      </c>
      <c r="N41" s="175" t="s">
        <v>695</v>
      </c>
      <c r="O41" s="513" t="s">
        <v>696</v>
      </c>
      <c r="P41" s="524">
        <f>VLOOKUP($C$38,$S$40:$AN$56,4,FALSE)</f>
        <v>32000</v>
      </c>
      <c r="Q41" s="203" t="s">
        <v>622</v>
      </c>
      <c r="R41" s="271"/>
      <c r="S41" s="539" t="s">
        <v>655</v>
      </c>
      <c r="T41" s="179" t="s">
        <v>697</v>
      </c>
      <c r="U41" s="179" t="s">
        <v>691</v>
      </c>
      <c r="V41" s="513">
        <v>32000</v>
      </c>
      <c r="W41" s="514">
        <v>2</v>
      </c>
      <c r="X41" s="514">
        <v>2</v>
      </c>
      <c r="Y41" s="514">
        <v>184</v>
      </c>
      <c r="Z41" s="514">
        <v>8</v>
      </c>
      <c r="AA41" s="514">
        <v>1</v>
      </c>
      <c r="AB41" s="514">
        <v>8</v>
      </c>
      <c r="AC41" s="514">
        <v>1296</v>
      </c>
      <c r="AD41" s="514">
        <v>4</v>
      </c>
      <c r="AE41" s="514">
        <f>IF(D73=2,1296,2592)</f>
        <v>2592</v>
      </c>
      <c r="AF41" s="514">
        <f>IF(D74=2,1024,2048)</f>
        <v>2048</v>
      </c>
      <c r="AG41" s="548">
        <f>IF(D73=2,384,732)</f>
        <v>732</v>
      </c>
      <c r="AH41" s="513">
        <v>17</v>
      </c>
      <c r="AI41" s="271">
        <v>13</v>
      </c>
      <c r="AJ41" s="271">
        <f>IF(D46="standard",7,4)</f>
        <v>7</v>
      </c>
      <c r="AK41" s="271">
        <v>9</v>
      </c>
      <c r="AL41" s="179">
        <f>IF(D46="Ultra short",99,40000)</f>
        <v>40000</v>
      </c>
      <c r="AM41" s="179">
        <v>22</v>
      </c>
      <c r="AN41" s="549" t="s">
        <v>692</v>
      </c>
      <c r="AO41" s="549">
        <v>2</v>
      </c>
      <c r="AP41" s="232">
        <v>128000</v>
      </c>
      <c r="AQ41" s="232">
        <f>ROUNDUP(4*P49/64+IF(D46="Standard",10.4,0),0)</f>
        <v>57</v>
      </c>
      <c r="AR41" s="232">
        <f>ROUNDUP(2*P49/64+6.8,0)</f>
        <v>30</v>
      </c>
      <c r="AS41" s="232">
        <v>7</v>
      </c>
      <c r="AT41" s="176"/>
      <c r="AU41" s="176"/>
      <c r="AV41" s="176"/>
      <c r="AW41" s="176"/>
      <c r="AX41" s="176"/>
      <c r="AY41" s="176"/>
      <c r="AZ41" s="176"/>
      <c r="BA41" s="176"/>
    </row>
    <row r="42" spans="1:53" ht="409.5" hidden="1">
      <c r="A42" s="179" t="str">
        <f>VLOOKUP($C$38,$S$40:$AO$53,22,FALSE)</f>
        <v>像素格式(8/12)</v>
      </c>
      <c r="B42" s="179" t="s">
        <v>458</v>
      </c>
      <c r="C42" s="179">
        <v>8</v>
      </c>
      <c r="D42" s="512">
        <f>C12</f>
        <v>8</v>
      </c>
      <c r="E42" s="161" t="s">
        <v>594</v>
      </c>
      <c r="F42" s="271"/>
      <c r="G42" s="225" t="s">
        <v>406</v>
      </c>
      <c r="H42" s="179" t="s">
        <v>251</v>
      </c>
      <c r="I42" s="522" t="s">
        <v>698</v>
      </c>
      <c r="J42" s="525">
        <f>IF(D46="Ultra Short",IF(D51=1,MAX(J45,J46,J47),MAX(J45,J46,J47,J48)),IF(D51=1,IF(D44="TriggerWidth",ROUNDUP(MAX(J45,J47,J66)*J41/1000,0),ROUNDUP(MAX(J45,J46,J47)*J41/1000,0)),ROUNDUP(MAX(J45,J46,J47,J48)*J41/1000,0)))</f>
        <v>49584</v>
      </c>
      <c r="K42" s="232" t="s">
        <v>478</v>
      </c>
      <c r="L42" s="271"/>
      <c r="M42" s="526" t="s">
        <v>699</v>
      </c>
      <c r="N42" s="513" t="s">
        <v>700</v>
      </c>
      <c r="O42" s="513" t="s">
        <v>696</v>
      </c>
      <c r="P42" s="527">
        <f>P41*2</f>
        <v>64000</v>
      </c>
      <c r="Q42" s="540" t="s">
        <v>622</v>
      </c>
      <c r="R42" s="271"/>
      <c r="S42" s="539"/>
      <c r="T42" s="514"/>
      <c r="U42" s="514"/>
      <c r="V42" s="541"/>
      <c r="W42" s="514"/>
      <c r="X42" s="514"/>
      <c r="Y42" s="514"/>
      <c r="Z42" s="514"/>
      <c r="AA42" s="514"/>
      <c r="AB42" s="514"/>
      <c r="AC42" s="514"/>
      <c r="AD42" s="514"/>
      <c r="AE42" s="514"/>
      <c r="AF42" s="514"/>
      <c r="AG42" s="548" t="s">
        <v>701</v>
      </c>
      <c r="AH42" s="514"/>
      <c r="AI42" s="514"/>
      <c r="AJ42" s="514"/>
      <c r="AK42" s="514"/>
      <c r="AL42" s="514"/>
      <c r="AM42" s="514"/>
      <c r="AN42" s="550"/>
      <c r="AO42" s="550"/>
      <c r="AP42" s="161"/>
      <c r="AQ42" s="161"/>
      <c r="AR42" s="161"/>
      <c r="AS42" s="161"/>
      <c r="AT42" s="176"/>
      <c r="AU42" s="176"/>
      <c r="AV42" s="176"/>
      <c r="AW42" s="176"/>
      <c r="AX42" s="176"/>
      <c r="AY42" s="176"/>
      <c r="AZ42" s="176"/>
      <c r="BA42" s="176"/>
    </row>
    <row r="43" spans="1:53" ht="81" hidden="1">
      <c r="A43" s="730" t="s">
        <v>214</v>
      </c>
      <c r="B43" s="730"/>
      <c r="C43" s="730"/>
      <c r="D43" s="730"/>
      <c r="E43" s="747"/>
      <c r="F43" s="271"/>
      <c r="G43" s="225" t="s">
        <v>486</v>
      </c>
      <c r="H43" s="179" t="s">
        <v>252</v>
      </c>
      <c r="I43" s="522" t="s">
        <v>487</v>
      </c>
      <c r="J43" s="525">
        <f>1000000/J42</f>
        <v>20.167796063246207</v>
      </c>
      <c r="K43" s="232" t="s">
        <v>488</v>
      </c>
      <c r="L43" s="271"/>
      <c r="M43" s="526" t="s">
        <v>702</v>
      </c>
      <c r="N43" s="513" t="s">
        <v>703</v>
      </c>
      <c r="O43" s="513" t="s">
        <v>696</v>
      </c>
      <c r="P43" s="527">
        <f>VLOOKUP($C$38,$S$40:$AN$56,7,FALSE)</f>
        <v>184</v>
      </c>
      <c r="Q43" s="540" t="s">
        <v>704</v>
      </c>
      <c r="R43" s="271"/>
      <c r="S43" s="539"/>
      <c r="T43" s="514"/>
      <c r="U43" s="514"/>
      <c r="V43" s="541"/>
      <c r="W43" s="514"/>
      <c r="X43" s="514"/>
      <c r="Y43" s="514"/>
      <c r="Z43" s="514"/>
      <c r="AA43" s="514"/>
      <c r="AB43" s="514"/>
      <c r="AC43" s="514"/>
      <c r="AD43" s="514"/>
      <c r="AE43" s="514"/>
      <c r="AF43" s="514"/>
      <c r="AG43" s="548"/>
      <c r="AH43" s="514"/>
      <c r="AI43" s="514"/>
      <c r="AJ43" s="514"/>
      <c r="AK43" s="514"/>
      <c r="AL43" s="514"/>
      <c r="AM43" s="514"/>
      <c r="AN43" s="550"/>
      <c r="AO43" s="550"/>
      <c r="AP43" s="161"/>
      <c r="AQ43" s="161"/>
      <c r="AR43" s="161"/>
      <c r="AS43" s="161"/>
      <c r="AT43" s="176"/>
      <c r="AU43" s="176"/>
      <c r="AV43" s="176"/>
      <c r="AW43" s="176"/>
      <c r="AX43" s="176"/>
      <c r="AY43" s="176"/>
      <c r="AZ43" s="176"/>
      <c r="BA43" s="176"/>
    </row>
    <row r="44" spans="1:53" ht="67.5" hidden="1">
      <c r="A44" s="513" t="s">
        <v>705</v>
      </c>
      <c r="B44" s="179" t="s">
        <v>706</v>
      </c>
      <c r="C44" s="179" t="s">
        <v>707</v>
      </c>
      <c r="D44" s="512" t="s">
        <v>707</v>
      </c>
      <c r="E44" s="161" t="s">
        <v>594</v>
      </c>
      <c r="F44" s="271"/>
      <c r="G44" s="746" t="s">
        <v>510</v>
      </c>
      <c r="H44" s="730"/>
      <c r="I44" s="730"/>
      <c r="J44" s="730"/>
      <c r="K44" s="747"/>
      <c r="L44" s="271"/>
      <c r="M44" s="526" t="s">
        <v>708</v>
      </c>
      <c r="N44" s="513" t="s">
        <v>709</v>
      </c>
      <c r="O44" s="513" t="s">
        <v>696</v>
      </c>
      <c r="P44" s="527">
        <f>VLOOKUP($C$38,$S$40:$AN$56,8,FALSE)</f>
        <v>8</v>
      </c>
      <c r="Q44" s="540" t="s">
        <v>704</v>
      </c>
      <c r="R44" s="271"/>
      <c r="S44" s="542"/>
      <c r="T44" s="543"/>
      <c r="U44" s="543"/>
      <c r="V44" s="200"/>
      <c r="W44" s="543"/>
      <c r="X44" s="543"/>
      <c r="Y44" s="543"/>
      <c r="Z44" s="543"/>
      <c r="AA44" s="543"/>
      <c r="AB44" s="543"/>
      <c r="AC44" s="543"/>
      <c r="AD44" s="543"/>
      <c r="AE44" s="543"/>
      <c r="AF44" s="543"/>
      <c r="AG44" s="551"/>
      <c r="AH44" s="543"/>
      <c r="AI44" s="543"/>
      <c r="AJ44" s="533"/>
      <c r="AK44" s="543"/>
      <c r="AL44" s="543"/>
      <c r="AM44" s="543"/>
      <c r="AN44" s="552"/>
      <c r="AO44" s="552"/>
      <c r="AP44" s="233"/>
      <c r="AQ44" s="233"/>
      <c r="AR44" s="233"/>
      <c r="AS44" s="233"/>
      <c r="AT44" s="176"/>
      <c r="AU44" s="176"/>
      <c r="AV44" s="176"/>
      <c r="AW44" s="176"/>
      <c r="AX44" s="176"/>
      <c r="AY44" s="176"/>
      <c r="AZ44" s="176"/>
      <c r="BA44" s="176"/>
    </row>
    <row r="45" spans="1:53" ht="391.5" hidden="1">
      <c r="A45" s="513" t="str">
        <f>"交叠曝光时间
(0-"&amp;INT((J45-P51)*J41/1000)&amp;")"</f>
        <v>交叠曝光时间
(0-23562)</v>
      </c>
      <c r="B45" s="179" t="s">
        <v>710</v>
      </c>
      <c r="C45" s="179">
        <f>INT((VLOOKUP($C$38,$S$39:$AR$53,14,FALSE)+VLOOKUP($C$38,$S$39:$AR$53,18,FALSE)+VLOOKUP($C$38,$S$39:$AR$53,16,FALSE)+VLOOKUP($C$38,$S$39:$AR$53,9,FALSE)-P51)*ROUNDUP(1000000*VLOOKUP($C$38,$S$39:$AR$53,15,FALSE)/P42,0)/1000)</f>
        <v>23562</v>
      </c>
      <c r="D45" s="512">
        <v>23562</v>
      </c>
      <c r="E45" s="514" t="s">
        <v>478</v>
      </c>
      <c r="F45" s="271"/>
      <c r="G45" s="225" t="s">
        <v>516</v>
      </c>
      <c r="H45" s="179" t="s">
        <v>517</v>
      </c>
      <c r="I45" s="179" t="s">
        <v>711</v>
      </c>
      <c r="J45" s="527">
        <f>IF(D46="Ultra short",ROUNDUP((D59*D72+P50+P45)*J41/1000,0),(D59*D72+P50+P45+P52))</f>
        <v>2073</v>
      </c>
      <c r="K45" s="528" t="str">
        <f>IF(D46="Ultra Short","us","line")</f>
        <v>line</v>
      </c>
      <c r="L45" s="271"/>
      <c r="M45" s="526" t="s">
        <v>712</v>
      </c>
      <c r="N45" s="513" t="s">
        <v>713</v>
      </c>
      <c r="O45" s="513" t="s">
        <v>696</v>
      </c>
      <c r="P45" s="527">
        <f>VLOOKUP($C$38,$S$40:$AN$56,9,FALSE)</f>
        <v>1</v>
      </c>
      <c r="Q45" s="540"/>
      <c r="R45" s="271"/>
      <c r="S45" s="174"/>
      <c r="T45" s="174"/>
      <c r="U45" s="174"/>
      <c r="V45" s="174"/>
      <c r="W45" s="174"/>
      <c r="X45" s="174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P45" s="271"/>
      <c r="AQ45" s="271"/>
      <c r="AR45" s="271"/>
      <c r="AS45" s="271"/>
      <c r="AT45" s="176"/>
      <c r="AU45" s="176"/>
      <c r="AV45" s="176"/>
      <c r="AW45" s="176"/>
      <c r="AX45" s="176"/>
      <c r="AY45" s="176"/>
      <c r="AZ45" s="176"/>
      <c r="BA45" s="176"/>
    </row>
    <row r="46" spans="1:53" ht="324" hidden="1">
      <c r="A46" s="179" t="s">
        <v>714</v>
      </c>
      <c r="B46" s="179" t="s">
        <v>715</v>
      </c>
      <c r="C46" s="179" t="s">
        <v>716</v>
      </c>
      <c r="D46" s="512" t="s">
        <v>716</v>
      </c>
      <c r="E46" s="161" t="s">
        <v>594</v>
      </c>
      <c r="F46" s="271"/>
      <c r="G46" s="21" t="s">
        <v>522</v>
      </c>
      <c r="H46" s="22" t="s">
        <v>523</v>
      </c>
      <c r="I46" s="22" t="s">
        <v>717</v>
      </c>
      <c r="J46" s="529">
        <f>IF(D46="Ultra Short",J51+J52+J55+(P51+P52+P53)*J41/1000+P60,J51+J52+P51+ROUNDUP((P60)*1000/J41,0))</f>
        <v>3513</v>
      </c>
      <c r="K46" s="528" t="str">
        <f>IF(D46="Ultra Short","us","line")</f>
        <v>line</v>
      </c>
      <c r="L46" s="271"/>
      <c r="M46" s="526" t="s">
        <v>718</v>
      </c>
      <c r="N46" s="513" t="s">
        <v>719</v>
      </c>
      <c r="O46" s="513" t="s">
        <v>696</v>
      </c>
      <c r="P46" s="527">
        <f>VLOOKUP($C$38,$S$40:$AN$56,10,FALSE)</f>
        <v>8</v>
      </c>
      <c r="Q46" s="540"/>
      <c r="R46" s="271"/>
      <c r="S46" s="174"/>
      <c r="T46" s="174"/>
      <c r="U46" s="174"/>
      <c r="V46" s="174"/>
      <c r="W46" s="174"/>
      <c r="X46" s="174"/>
      <c r="Y46" s="271"/>
      <c r="Z46" s="271"/>
      <c r="AA46" s="271"/>
      <c r="AB46" s="271"/>
      <c r="AC46" s="271"/>
      <c r="AD46" s="271"/>
      <c r="AE46" s="271"/>
      <c r="AF46" s="271"/>
      <c r="AG46" s="271"/>
      <c r="AH46" s="271"/>
      <c r="AI46" s="271"/>
      <c r="AJ46" s="271"/>
      <c r="AK46" s="271"/>
      <c r="AL46" s="271"/>
      <c r="AM46" s="271"/>
      <c r="AN46" s="271"/>
      <c r="AO46" s="271"/>
      <c r="AP46" s="271"/>
      <c r="AQ46" s="271"/>
      <c r="AR46" s="271"/>
      <c r="AS46" s="271"/>
      <c r="AT46" s="176"/>
      <c r="AU46" s="176"/>
      <c r="AV46" s="176"/>
      <c r="AW46" s="176"/>
      <c r="AX46" s="176"/>
      <c r="AY46" s="176"/>
      <c r="AZ46" s="176"/>
      <c r="BA46" s="176"/>
    </row>
    <row r="47" spans="1:53" ht="310.5" hidden="1">
      <c r="A47" s="179" t="s">
        <v>214</v>
      </c>
      <c r="B47" s="179" t="s">
        <v>475</v>
      </c>
      <c r="C47" s="179">
        <f>VLOOKUP($C$38,$S$40:$AN$56,20,FALSE)</f>
        <v>40000</v>
      </c>
      <c r="D47" s="512">
        <f>C10</f>
        <v>40000</v>
      </c>
      <c r="E47" s="161" t="s">
        <v>478</v>
      </c>
      <c r="F47" s="271"/>
      <c r="G47" s="225" t="s">
        <v>534</v>
      </c>
      <c r="H47" s="179" t="s">
        <v>535</v>
      </c>
      <c r="I47" s="179" t="s">
        <v>720</v>
      </c>
      <c r="J47" s="525">
        <f>IF(D46="Ultra Short",ROUNDUP((1000000/D69)*D68,0),ROUNDUP(((1000000000/D69)/J41)*D68,0))</f>
        <v>0</v>
      </c>
      <c r="K47" s="528" t="str">
        <f>IF(D46="Ultra Short","us","line")</f>
        <v>line</v>
      </c>
      <c r="L47" s="271"/>
      <c r="M47" s="21" t="s">
        <v>260</v>
      </c>
      <c r="N47" s="22" t="s">
        <v>721</v>
      </c>
      <c r="O47" s="22" t="s">
        <v>696</v>
      </c>
      <c r="P47" s="529">
        <f>IF(D42=8,VLOOKUP($C$38,$S$40:$AN$56,15,FALSE),2*VLOOKUP($C$38,$S$40:$AN$56,15,FALSE))</f>
        <v>732</v>
      </c>
      <c r="Q47" s="42" t="s">
        <v>722</v>
      </c>
      <c r="R47" s="271"/>
      <c r="S47" s="174"/>
      <c r="T47" s="174"/>
      <c r="U47" s="174"/>
      <c r="V47" s="174"/>
      <c r="W47" s="174"/>
      <c r="X47" s="174"/>
      <c r="Y47" s="271"/>
      <c r="Z47" s="271"/>
      <c r="AA47" s="271"/>
      <c r="AB47" s="271"/>
      <c r="AC47" s="271"/>
      <c r="AD47" s="271"/>
      <c r="AE47" s="271"/>
      <c r="AF47" s="271"/>
      <c r="AG47" s="271"/>
      <c r="AH47" s="271"/>
      <c r="AI47" s="271"/>
      <c r="AJ47" s="271"/>
      <c r="AK47" s="271"/>
      <c r="AL47" s="271"/>
      <c r="AM47" s="271"/>
      <c r="AN47" s="271"/>
      <c r="AO47" s="271"/>
      <c r="AP47" s="271"/>
      <c r="AQ47" s="271"/>
      <c r="AR47" s="271"/>
      <c r="AS47" s="271"/>
      <c r="AT47" s="176"/>
      <c r="AU47" s="176"/>
      <c r="AV47" s="176"/>
      <c r="AW47" s="176"/>
      <c r="AX47" s="176"/>
      <c r="AY47" s="176"/>
      <c r="AZ47" s="176"/>
      <c r="BA47" s="176"/>
    </row>
    <row r="48" spans="1:53" ht="148.5" hidden="1">
      <c r="A48" s="179" t="s">
        <v>216</v>
      </c>
      <c r="B48" s="179" t="s">
        <v>484</v>
      </c>
      <c r="C48" s="179">
        <v>0</v>
      </c>
      <c r="D48" s="512">
        <f>C11</f>
        <v>0</v>
      </c>
      <c r="E48" s="161" t="s">
        <v>478</v>
      </c>
      <c r="F48" s="271"/>
      <c r="G48" s="225" t="s">
        <v>540</v>
      </c>
      <c r="H48" s="179" t="s">
        <v>417</v>
      </c>
      <c r="I48" s="179" t="s">
        <v>723</v>
      </c>
      <c r="J48" s="525">
        <f>IF(D52="Standard",P93,P95)</f>
        <v>4335</v>
      </c>
      <c r="K48" s="528" t="str">
        <f>IF(D46="Ultra Short","us","line")</f>
        <v>line</v>
      </c>
      <c r="L48" s="271"/>
      <c r="M48" s="21" t="s">
        <v>724</v>
      </c>
      <c r="N48" s="22" t="s">
        <v>725</v>
      </c>
      <c r="O48" s="22" t="s">
        <v>726</v>
      </c>
      <c r="P48" s="529">
        <f>IF(D42=8,ROUNDUP((P47/P42*32*1000),0),ROUNDUP((P47/P42*32*1000),0))</f>
        <v>366</v>
      </c>
      <c r="Q48" s="42" t="s">
        <v>722</v>
      </c>
      <c r="R48" s="271"/>
      <c r="S48" s="174"/>
      <c r="T48" s="174"/>
      <c r="U48" s="174"/>
      <c r="V48" s="174"/>
      <c r="W48" s="174"/>
      <c r="X48" s="174"/>
      <c r="Y48" s="271"/>
      <c r="Z48" s="271"/>
      <c r="AA48" s="271"/>
      <c r="AB48" s="271"/>
      <c r="AC48" s="271"/>
      <c r="AD48" s="271"/>
      <c r="AE48" s="271"/>
      <c r="AF48" s="271"/>
      <c r="AG48" s="271"/>
      <c r="AH48" s="271"/>
      <c r="AI48" s="271"/>
      <c r="AJ48" s="271"/>
      <c r="AK48" s="271"/>
      <c r="AL48" s="271"/>
      <c r="AM48" s="271"/>
      <c r="AN48" s="271"/>
      <c r="AO48" s="271"/>
      <c r="AP48" s="271"/>
      <c r="AQ48" s="271"/>
      <c r="AR48" s="271"/>
      <c r="AS48" s="271"/>
      <c r="AT48" s="176"/>
      <c r="AU48" s="176"/>
      <c r="AV48" s="176"/>
      <c r="AW48" s="176"/>
      <c r="AX48" s="176"/>
      <c r="AY48" s="176"/>
      <c r="AZ48" s="176"/>
      <c r="BA48" s="176"/>
    </row>
    <row r="49" spans="1:53" ht="135" hidden="1">
      <c r="A49" s="513" t="s">
        <v>727</v>
      </c>
      <c r="B49" s="179" t="s">
        <v>728</v>
      </c>
      <c r="C49" s="179" t="s">
        <v>594</v>
      </c>
      <c r="D49" s="512">
        <v>1000</v>
      </c>
      <c r="E49" s="514" t="s">
        <v>478</v>
      </c>
      <c r="F49" s="271"/>
      <c r="G49" s="746" t="s">
        <v>729</v>
      </c>
      <c r="H49" s="730"/>
      <c r="I49" s="730"/>
      <c r="J49" s="730"/>
      <c r="K49" s="747"/>
      <c r="L49" s="271"/>
      <c r="M49" s="530" t="s">
        <v>730</v>
      </c>
      <c r="N49" s="531" t="s">
        <v>731</v>
      </c>
      <c r="O49" s="531" t="s">
        <v>696</v>
      </c>
      <c r="P49" s="531">
        <f>VLOOKUP($C$38,$S$40:$AN$56,15,FALSE)</f>
        <v>732</v>
      </c>
      <c r="Q49" s="544" t="s">
        <v>722</v>
      </c>
      <c r="R49" s="271"/>
      <c r="S49" s="174"/>
      <c r="T49" s="174"/>
      <c r="U49" s="174"/>
      <c r="V49" s="174"/>
      <c r="W49" s="174"/>
      <c r="X49" s="174"/>
      <c r="Y49" s="271"/>
      <c r="Z49" s="271"/>
      <c r="AA49" s="271"/>
      <c r="AB49" s="271"/>
      <c r="AC49" s="271"/>
      <c r="AD49" s="271"/>
      <c r="AE49" s="271"/>
      <c r="AF49" s="271"/>
      <c r="AG49" s="271"/>
      <c r="AH49" s="271"/>
      <c r="AI49" s="271"/>
      <c r="AJ49" s="271"/>
      <c r="AK49" s="271"/>
      <c r="AL49" s="271"/>
      <c r="AM49" s="271"/>
      <c r="AN49" s="271"/>
      <c r="AO49" s="271"/>
      <c r="AP49" s="271"/>
      <c r="AQ49" s="271"/>
      <c r="AR49" s="271"/>
      <c r="AS49" s="271"/>
      <c r="AT49" s="176"/>
      <c r="AU49" s="176"/>
      <c r="AV49" s="176"/>
      <c r="AW49" s="176"/>
      <c r="AX49" s="176"/>
      <c r="AY49" s="176"/>
      <c r="AZ49" s="176"/>
      <c r="BA49" s="176"/>
    </row>
    <row r="50" spans="1:53" ht="135" hidden="1">
      <c r="A50" s="766" t="s">
        <v>280</v>
      </c>
      <c r="B50" s="761"/>
      <c r="C50" s="761"/>
      <c r="D50" s="761"/>
      <c r="E50" s="762"/>
      <c r="F50" s="271"/>
      <c r="G50" s="225" t="s">
        <v>732</v>
      </c>
      <c r="H50" s="179" t="s">
        <v>733</v>
      </c>
      <c r="I50" s="513" t="s">
        <v>734</v>
      </c>
      <c r="J50" s="527" t="str">
        <f>IF(D46="Ultra short",ROUNDUP(D47*P42/1000,0),"-")</f>
        <v>-</v>
      </c>
      <c r="K50" s="528" t="s">
        <v>735</v>
      </c>
      <c r="L50" s="271"/>
      <c r="M50" s="156" t="s">
        <v>629</v>
      </c>
      <c r="N50" s="175" t="s">
        <v>736</v>
      </c>
      <c r="O50" s="175" t="s">
        <v>696</v>
      </c>
      <c r="P50" s="524">
        <f>VLOOKUP($C$38,$S$40:$AR$56,16,FALSE)</f>
        <v>17</v>
      </c>
      <c r="Q50" s="203" t="s">
        <v>469</v>
      </c>
      <c r="R50" s="271"/>
      <c r="S50" s="271"/>
      <c r="T50" s="271"/>
      <c r="U50" s="271"/>
      <c r="V50" s="271"/>
      <c r="W50" s="271"/>
      <c r="X50" s="271"/>
      <c r="Y50" s="271"/>
      <c r="Z50" s="271"/>
      <c r="AA50" s="271"/>
      <c r="AB50" s="271"/>
      <c r="AC50" s="271"/>
      <c r="AD50" s="271"/>
      <c r="AE50" s="271"/>
      <c r="AF50" s="271"/>
      <c r="AG50" s="271"/>
      <c r="AH50" s="271"/>
      <c r="AI50" s="271"/>
      <c r="AJ50" s="271"/>
      <c r="AK50" s="271"/>
      <c r="AL50" s="271"/>
      <c r="AM50" s="271"/>
      <c r="AN50" s="271"/>
      <c r="AO50" s="271"/>
      <c r="AP50" s="271"/>
      <c r="AQ50" s="271"/>
      <c r="AR50" s="271"/>
      <c r="AS50" s="271"/>
      <c r="AT50" s="176"/>
      <c r="AU50" s="176"/>
      <c r="AV50" s="176"/>
      <c r="AW50" s="176"/>
      <c r="AX50" s="176"/>
      <c r="AY50" s="176"/>
      <c r="AZ50" s="176"/>
      <c r="BA50" s="176"/>
    </row>
    <row r="51" spans="1:53" ht="409.5" hidden="1">
      <c r="A51" s="225" t="s">
        <v>280</v>
      </c>
      <c r="B51" s="179" t="s">
        <v>428</v>
      </c>
      <c r="C51" s="179">
        <v>0</v>
      </c>
      <c r="D51" s="512">
        <f>C21</f>
        <v>0</v>
      </c>
      <c r="E51" s="515" t="s">
        <v>594</v>
      </c>
      <c r="F51" s="271"/>
      <c r="G51" s="225" t="s">
        <v>397</v>
      </c>
      <c r="H51" s="179" t="s">
        <v>737</v>
      </c>
      <c r="I51" s="513" t="s">
        <v>738</v>
      </c>
      <c r="J51" s="527">
        <f>IF(D46="Ultra Short",D47+P62,ROUNDUP((D47-P61)*1000/J41,0))</f>
        <v>3495</v>
      </c>
      <c r="K51" s="528" t="str">
        <f>IF(D46="Ultra Short","us","line")</f>
        <v>line</v>
      </c>
      <c r="L51" s="271"/>
      <c r="M51" s="156" t="s">
        <v>739</v>
      </c>
      <c r="N51" s="175" t="s">
        <v>740</v>
      </c>
      <c r="O51" s="175" t="s">
        <v>696</v>
      </c>
      <c r="P51" s="524">
        <f>VLOOKUP($C$38,$S$40:$AR$56,17,FALSE)</f>
        <v>13</v>
      </c>
      <c r="Q51" s="203" t="s">
        <v>469</v>
      </c>
      <c r="R51" s="271"/>
      <c r="S51" s="271"/>
      <c r="T51" s="271"/>
      <c r="U51" s="271"/>
      <c r="V51" s="271"/>
      <c r="W51" s="271"/>
      <c r="X51" s="271"/>
      <c r="Y51" s="271"/>
      <c r="Z51" s="271"/>
      <c r="AA51" s="271"/>
      <c r="AB51" s="271"/>
      <c r="AC51" s="271"/>
      <c r="AD51" s="271"/>
      <c r="AE51" s="271"/>
      <c r="AF51" s="271"/>
      <c r="AG51" s="271"/>
      <c r="AH51" s="271"/>
      <c r="AI51" s="271"/>
      <c r="AJ51" s="271"/>
      <c r="AK51" s="271"/>
      <c r="AL51" s="271"/>
      <c r="AM51" s="271"/>
      <c r="AN51" s="271"/>
      <c r="AO51" s="271"/>
      <c r="AP51" s="271"/>
      <c r="AQ51" s="271"/>
      <c r="AR51" s="271"/>
      <c r="AS51" s="271"/>
      <c r="AT51" s="176"/>
      <c r="AU51" s="176"/>
      <c r="AV51" s="176"/>
      <c r="AW51" s="176"/>
      <c r="AX51" s="176"/>
      <c r="AY51" s="176"/>
      <c r="AZ51" s="176"/>
      <c r="BA51" s="176"/>
    </row>
    <row r="52" spans="1:53" ht="67.5" hidden="1">
      <c r="A52" s="516" t="s">
        <v>741</v>
      </c>
      <c r="B52" s="179" t="s">
        <v>742</v>
      </c>
      <c r="C52" s="179" t="s">
        <v>716</v>
      </c>
      <c r="D52" s="512" t="s">
        <v>716</v>
      </c>
      <c r="E52" s="161" t="s">
        <v>594</v>
      </c>
      <c r="F52" s="271"/>
      <c r="G52" s="225" t="s">
        <v>398</v>
      </c>
      <c r="H52" s="179" t="s">
        <v>743</v>
      </c>
      <c r="I52" s="179" t="s">
        <v>744</v>
      </c>
      <c r="J52" s="525">
        <f>IF(D46="Ultra short",D48,ROUNDUP(((1000*D48)/J41),0))</f>
        <v>0</v>
      </c>
      <c r="K52" s="528" t="str">
        <f>IF(D46="Ultra Short","us","line")</f>
        <v>line</v>
      </c>
      <c r="L52" s="271"/>
      <c r="M52" s="526" t="s">
        <v>745</v>
      </c>
      <c r="N52" s="513" t="s">
        <v>746</v>
      </c>
      <c r="O52" s="513" t="s">
        <v>696</v>
      </c>
      <c r="P52" s="527">
        <f>VLOOKUP($C$38,$S$40:$AR$56,18,FALSE)</f>
        <v>7</v>
      </c>
      <c r="Q52" s="540" t="s">
        <v>469</v>
      </c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1"/>
      <c r="AH52" s="271"/>
      <c r="AI52" s="271"/>
      <c r="AJ52" s="271"/>
      <c r="AK52" s="271"/>
      <c r="AL52" s="271"/>
      <c r="AM52" s="271"/>
      <c r="AN52" s="271"/>
      <c r="AO52" s="271"/>
      <c r="AP52" s="271"/>
      <c r="AQ52" s="271"/>
      <c r="AR52" s="271"/>
      <c r="AS52" s="271"/>
      <c r="AT52" s="176"/>
      <c r="AU52" s="176"/>
      <c r="AV52" s="176"/>
      <c r="AW52" s="176"/>
      <c r="AX52" s="176"/>
      <c r="AY52" s="176"/>
      <c r="AZ52" s="176"/>
      <c r="BA52" s="176"/>
    </row>
    <row r="53" spans="1:53" ht="54" hidden="1">
      <c r="A53" s="730" t="s">
        <v>747</v>
      </c>
      <c r="B53" s="730"/>
      <c r="C53" s="730"/>
      <c r="D53" s="730"/>
      <c r="E53" s="747"/>
      <c r="F53" s="271"/>
      <c r="G53" s="225" t="s">
        <v>553</v>
      </c>
      <c r="H53" s="179" t="s">
        <v>554</v>
      </c>
      <c r="I53" s="179">
        <v>0</v>
      </c>
      <c r="J53" s="525">
        <v>0</v>
      </c>
      <c r="K53" s="232" t="s">
        <v>478</v>
      </c>
      <c r="L53" s="271"/>
      <c r="M53" s="526" t="s">
        <v>748</v>
      </c>
      <c r="N53" s="513" t="s">
        <v>749</v>
      </c>
      <c r="O53" s="513" t="s">
        <v>696</v>
      </c>
      <c r="P53" s="527">
        <f>VLOOKUP($C$38,$S$40:$AR$56,19,FALSE)</f>
        <v>9</v>
      </c>
      <c r="Q53" s="540" t="s">
        <v>469</v>
      </c>
      <c r="R53" s="271"/>
      <c r="S53" s="271"/>
      <c r="T53" s="271"/>
      <c r="U53" s="271"/>
      <c r="V53" s="204"/>
      <c r="W53" s="271"/>
      <c r="X53" s="271"/>
      <c r="Y53" s="271"/>
      <c r="Z53" s="271"/>
      <c r="AA53" s="271"/>
      <c r="AB53" s="271"/>
      <c r="AC53" s="271"/>
      <c r="AD53" s="271"/>
      <c r="AE53" s="271"/>
      <c r="AF53" s="271"/>
      <c r="AG53" s="271"/>
      <c r="AH53" s="271"/>
      <c r="AI53" s="271"/>
      <c r="AJ53" s="271"/>
      <c r="AK53" s="271"/>
      <c r="AL53" s="271"/>
      <c r="AM53" s="271"/>
      <c r="AN53" s="271"/>
      <c r="AO53" s="271"/>
      <c r="AP53" s="271"/>
      <c r="AQ53" s="271"/>
      <c r="AR53" s="271"/>
      <c r="AS53" s="271"/>
      <c r="AT53" s="176"/>
      <c r="AU53" s="176"/>
      <c r="AV53" s="176"/>
      <c r="AW53" s="176"/>
      <c r="AX53" s="176"/>
      <c r="AY53" s="176"/>
      <c r="AZ53" s="176"/>
      <c r="BA53" s="176"/>
    </row>
    <row r="54" spans="1:53" ht="256.5" hidden="1">
      <c r="A54" s="179" t="s">
        <v>503</v>
      </c>
      <c r="B54" s="179" t="s">
        <v>508</v>
      </c>
      <c r="C54" s="179">
        <v>0</v>
      </c>
      <c r="D54" s="512">
        <v>0</v>
      </c>
      <c r="E54" s="161" t="s">
        <v>478</v>
      </c>
      <c r="F54" s="271"/>
      <c r="G54" s="21" t="s">
        <v>560</v>
      </c>
      <c r="H54" s="22" t="s">
        <v>750</v>
      </c>
      <c r="I54" s="22" t="s">
        <v>751</v>
      </c>
      <c r="J54" s="529">
        <f>IF(D46="Ultra short",200,IF((D47+P60-P61+4*J41/1000)&gt;100,(D47+P60-P61+4*J41/1000),100))</f>
        <v>40072.752</v>
      </c>
      <c r="K54" s="232" t="s">
        <v>478</v>
      </c>
      <c r="L54" s="271"/>
      <c r="M54" s="225" t="s">
        <v>382</v>
      </c>
      <c r="N54" s="179" t="s">
        <v>752</v>
      </c>
      <c r="O54" s="175" t="s">
        <v>696</v>
      </c>
      <c r="P54" s="524">
        <f>VLOOKUP($C$38,$S$40:$AN$56,5,FALSE)</f>
        <v>2</v>
      </c>
      <c r="Q54" s="232"/>
      <c r="R54" s="271"/>
      <c r="S54" s="271"/>
      <c r="T54" s="271"/>
      <c r="U54" s="271"/>
      <c r="V54" s="204"/>
      <c r="W54" s="271"/>
      <c r="X54" s="271"/>
      <c r="Y54" s="271"/>
      <c r="Z54" s="271"/>
      <c r="AA54" s="271"/>
      <c r="AB54" s="271"/>
      <c r="AC54" s="271"/>
      <c r="AD54" s="271"/>
      <c r="AE54" s="271"/>
      <c r="AF54" s="271"/>
      <c r="AG54" s="271"/>
      <c r="AH54" s="271"/>
      <c r="AI54" s="271"/>
      <c r="AJ54" s="271"/>
      <c r="AK54" s="271"/>
      <c r="AL54" s="271"/>
      <c r="AM54" s="271"/>
      <c r="AN54" s="271"/>
      <c r="AO54" s="271"/>
      <c r="AP54" s="271"/>
      <c r="AQ54" s="271"/>
      <c r="AR54" s="271"/>
      <c r="AS54" s="271"/>
      <c r="AT54" s="176"/>
      <c r="AU54" s="176"/>
      <c r="AV54" s="176"/>
      <c r="AW54" s="176"/>
      <c r="AX54" s="176"/>
      <c r="AY54" s="176"/>
      <c r="AZ54" s="176"/>
      <c r="BA54" s="176"/>
    </row>
    <row r="55" spans="1:53" ht="364.5" hidden="1">
      <c r="A55" s="730" t="s">
        <v>753</v>
      </c>
      <c r="B55" s="730"/>
      <c r="C55" s="730"/>
      <c r="D55" s="730"/>
      <c r="E55" s="747"/>
      <c r="F55" s="271"/>
      <c r="G55" s="225" t="s">
        <v>399</v>
      </c>
      <c r="H55" s="179" t="s">
        <v>754</v>
      </c>
      <c r="I55" s="179" t="s">
        <v>755</v>
      </c>
      <c r="J55" s="532">
        <f>IF(D46="Ultra short",ROUNDUP((D59*D72+P45)*J41/1000,0),D59*D72+P45+P52)</f>
        <v>2056</v>
      </c>
      <c r="K55" s="528" t="str">
        <f>IF(D46="Ultra Short","us","line")</f>
        <v>line</v>
      </c>
      <c r="L55" s="271"/>
      <c r="M55" s="225" t="s">
        <v>383</v>
      </c>
      <c r="N55" s="179" t="s">
        <v>756</v>
      </c>
      <c r="O55" s="175" t="s">
        <v>696</v>
      </c>
      <c r="P55" s="524">
        <f>VLOOKUP($C$38,$S$40:$AN$56,6,FALSE)</f>
        <v>2</v>
      </c>
      <c r="Q55" s="232"/>
      <c r="R55" s="271"/>
      <c r="S55" s="271"/>
      <c r="T55" s="271"/>
      <c r="U55" s="271"/>
      <c r="V55" s="204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71"/>
      <c r="AH55" s="271"/>
      <c r="AI55" s="271"/>
      <c r="AJ55" s="271"/>
      <c r="AK55" s="271"/>
      <c r="AL55" s="271"/>
      <c r="AM55" s="271"/>
      <c r="AN55" s="271"/>
      <c r="AO55" s="271"/>
      <c r="AP55" s="271"/>
      <c r="AQ55" s="271"/>
      <c r="AR55" s="271"/>
      <c r="AS55" s="271"/>
      <c r="AT55" s="176"/>
      <c r="AU55" s="176"/>
      <c r="AV55" s="176"/>
      <c r="AW55" s="176"/>
      <c r="AX55" s="176"/>
      <c r="AY55" s="176"/>
      <c r="AZ55" s="176"/>
      <c r="BA55" s="176"/>
    </row>
    <row r="56" spans="1:53" ht="54" hidden="1">
      <c r="A56" s="179" t="s">
        <v>757</v>
      </c>
      <c r="B56" s="179" t="s">
        <v>758</v>
      </c>
      <c r="C56" s="179">
        <v>0</v>
      </c>
      <c r="D56" s="512">
        <v>0</v>
      </c>
      <c r="E56" s="161" t="s">
        <v>704</v>
      </c>
      <c r="F56" s="271"/>
      <c r="G56" s="746" t="s">
        <v>366</v>
      </c>
      <c r="H56" s="730"/>
      <c r="I56" s="730"/>
      <c r="J56" s="730"/>
      <c r="K56" s="747"/>
      <c r="L56" s="271"/>
      <c r="M56" s="225" t="s">
        <v>384</v>
      </c>
      <c r="N56" s="179" t="s">
        <v>759</v>
      </c>
      <c r="O56" s="175" t="s">
        <v>696</v>
      </c>
      <c r="P56" s="524">
        <f>VLOOKUP($C$38,$S$40:$AN$56,13,FALSE)</f>
        <v>2592</v>
      </c>
      <c r="Q56" s="232" t="s">
        <v>704</v>
      </c>
      <c r="R56" s="271"/>
      <c r="S56" s="545"/>
      <c r="T56" s="204"/>
      <c r="U56" s="204"/>
      <c r="V56" s="204"/>
      <c r="W56" s="204"/>
      <c r="X56" s="271"/>
      <c r="Y56" s="271"/>
      <c r="Z56" s="271"/>
      <c r="AA56" s="204"/>
      <c r="AB56" s="204"/>
      <c r="AC56" s="271"/>
      <c r="AD56" s="271"/>
      <c r="AE56" s="271"/>
      <c r="AF56" s="271"/>
      <c r="AG56" s="271"/>
      <c r="AH56" s="271"/>
      <c r="AI56" s="271"/>
      <c r="AJ56" s="271"/>
      <c r="AK56" s="271"/>
      <c r="AL56" s="271"/>
      <c r="AM56" s="271"/>
      <c r="AN56" s="271"/>
      <c r="AO56" s="271"/>
      <c r="AP56" s="271"/>
      <c r="AQ56" s="271"/>
      <c r="AR56" s="271"/>
      <c r="AS56" s="271"/>
      <c r="AT56" s="176"/>
      <c r="AU56" s="176"/>
      <c r="AV56" s="176"/>
      <c r="AW56" s="176"/>
      <c r="AX56" s="176"/>
      <c r="AY56" s="176"/>
      <c r="AZ56" s="176"/>
      <c r="BA56" s="176"/>
    </row>
    <row r="57" spans="1:53" ht="67.5" hidden="1">
      <c r="A57" s="179" t="s">
        <v>760</v>
      </c>
      <c r="B57" s="179" t="s">
        <v>761</v>
      </c>
      <c r="C57" s="179">
        <v>0</v>
      </c>
      <c r="D57" s="512">
        <v>0</v>
      </c>
      <c r="E57" s="161" t="s">
        <v>704</v>
      </c>
      <c r="F57" s="271"/>
      <c r="G57" s="225" t="s">
        <v>400</v>
      </c>
      <c r="H57" s="179" t="s">
        <v>762</v>
      </c>
      <c r="I57" s="179" t="s">
        <v>763</v>
      </c>
      <c r="J57" s="532">
        <f>J43*P81</f>
        <v>107059051.30687317</v>
      </c>
      <c r="K57" s="232" t="s">
        <v>764</v>
      </c>
      <c r="L57" s="271"/>
      <c r="M57" s="225" t="s">
        <v>765</v>
      </c>
      <c r="N57" s="179" t="s">
        <v>766</v>
      </c>
      <c r="O57" s="175" t="s">
        <v>696</v>
      </c>
      <c r="P57" s="524">
        <f>VLOOKUP($C$38,$S$40:$AN$56,14,FALSE)</f>
        <v>2048</v>
      </c>
      <c r="Q57" s="232" t="s">
        <v>469</v>
      </c>
      <c r="R57" s="271"/>
      <c r="S57" s="545"/>
      <c r="T57" s="204"/>
      <c r="U57" s="204"/>
      <c r="V57" s="204"/>
      <c r="W57" s="204"/>
      <c r="X57" s="271"/>
      <c r="Y57" s="271"/>
      <c r="Z57" s="271"/>
      <c r="AA57" s="204"/>
      <c r="AB57" s="204"/>
      <c r="AC57" s="271"/>
      <c r="AD57" s="271"/>
      <c r="AE57" s="271"/>
      <c r="AF57" s="271"/>
      <c r="AG57" s="271"/>
      <c r="AH57" s="271"/>
      <c r="AI57" s="271"/>
      <c r="AJ57" s="271"/>
      <c r="AK57" s="271"/>
      <c r="AL57" s="271"/>
      <c r="AM57" s="271"/>
      <c r="AN57" s="271"/>
      <c r="AO57" s="271"/>
      <c r="AP57" s="271"/>
      <c r="AQ57" s="271"/>
      <c r="AR57" s="271"/>
      <c r="AS57" s="271"/>
      <c r="AT57" s="176"/>
      <c r="AU57" s="176"/>
      <c r="AV57" s="176"/>
      <c r="AW57" s="176"/>
      <c r="AX57" s="176"/>
      <c r="AY57" s="176"/>
      <c r="AZ57" s="176"/>
      <c r="BA57" s="176"/>
    </row>
    <row r="58" spans="1:53" ht="54" hidden="1">
      <c r="A58" s="179" t="s">
        <v>202</v>
      </c>
      <c r="B58" s="179" t="s">
        <v>203</v>
      </c>
      <c r="C58" s="179">
        <f>VLOOKUP($C$38,$S$40:$AN$56,13,FALSE)</f>
        <v>2592</v>
      </c>
      <c r="D58" s="512">
        <f>C4</f>
        <v>2592</v>
      </c>
      <c r="E58" s="161" t="s">
        <v>704</v>
      </c>
      <c r="F58" s="271"/>
      <c r="G58" s="517" t="s">
        <v>401</v>
      </c>
      <c r="H58" s="189" t="s">
        <v>767</v>
      </c>
      <c r="I58" s="179" t="s">
        <v>768</v>
      </c>
      <c r="J58" s="525">
        <f>J43*P89</f>
        <v>111593013.87544368</v>
      </c>
      <c r="K58" s="232" t="s">
        <v>764</v>
      </c>
      <c r="L58" s="271"/>
      <c r="M58" s="225" t="s">
        <v>769</v>
      </c>
      <c r="N58" s="179" t="s">
        <v>770</v>
      </c>
      <c r="O58" s="175" t="s">
        <v>696</v>
      </c>
      <c r="P58" s="524">
        <f>VLOOKUP($C$38,$S$40:$AR$56,23,FALSE)</f>
        <v>2</v>
      </c>
      <c r="Q58" s="232"/>
      <c r="R58" s="271"/>
      <c r="S58" s="767" t="s">
        <v>771</v>
      </c>
      <c r="T58" s="768"/>
      <c r="U58" s="768"/>
      <c r="V58" s="768"/>
      <c r="W58" s="768"/>
      <c r="X58" s="769"/>
      <c r="Y58" s="271"/>
      <c r="Z58" s="271"/>
      <c r="AA58" s="271"/>
      <c r="AB58" s="271"/>
      <c r="AC58" s="271"/>
      <c r="AD58" s="271"/>
      <c r="AE58" s="271"/>
      <c r="AF58" s="271"/>
      <c r="AG58" s="271"/>
      <c r="AH58" s="271"/>
      <c r="AI58" s="271"/>
      <c r="AJ58" s="271"/>
      <c r="AK58" s="271"/>
      <c r="AL58" s="271"/>
      <c r="AM58" s="271"/>
      <c r="AN58" s="271"/>
      <c r="AO58" s="271"/>
      <c r="AP58" s="271"/>
      <c r="AQ58" s="271"/>
      <c r="AR58" s="271"/>
      <c r="AS58" s="271"/>
      <c r="AT58" s="176"/>
      <c r="AU58" s="176"/>
      <c r="AV58" s="176"/>
      <c r="AW58" s="176"/>
      <c r="AX58" s="176"/>
      <c r="AY58" s="176"/>
      <c r="AZ58" s="176"/>
      <c r="BA58" s="176"/>
    </row>
    <row r="59" spans="1:53" ht="81" hidden="1">
      <c r="A59" s="179" t="s">
        <v>204</v>
      </c>
      <c r="B59" s="179" t="s">
        <v>205</v>
      </c>
      <c r="C59" s="179">
        <f>VLOOKUP($C$38,$S$40:$AN$56,14,FALSE)</f>
        <v>2048</v>
      </c>
      <c r="D59" s="512">
        <f>C5</f>
        <v>2048</v>
      </c>
      <c r="E59" s="161" t="s">
        <v>704</v>
      </c>
      <c r="F59" s="271"/>
      <c r="G59" s="517" t="s">
        <v>402</v>
      </c>
      <c r="H59" s="189" t="s">
        <v>772</v>
      </c>
      <c r="I59" s="179" t="s">
        <v>773</v>
      </c>
      <c r="J59" s="525">
        <f>1250*D63*(100-D66)</f>
        <v>112500000</v>
      </c>
      <c r="K59" s="232" t="s">
        <v>764</v>
      </c>
      <c r="L59" s="271"/>
      <c r="M59" s="225" t="s">
        <v>385</v>
      </c>
      <c r="N59" s="179" t="s">
        <v>774</v>
      </c>
      <c r="O59" s="175" t="s">
        <v>696</v>
      </c>
      <c r="P59" s="524">
        <f>VLOOKUP($C$38,$S$40:$AR$56,24,FALSE)</f>
        <v>128000</v>
      </c>
      <c r="Q59" s="232" t="s">
        <v>622</v>
      </c>
      <c r="R59" s="271"/>
      <c r="S59" s="760" t="s">
        <v>531</v>
      </c>
      <c r="T59" s="761"/>
      <c r="U59" s="761"/>
      <c r="V59" s="761"/>
      <c r="W59" s="761"/>
      <c r="X59" s="762"/>
      <c r="Y59" s="204"/>
      <c r="Z59" s="204"/>
      <c r="AA59" s="271"/>
      <c r="AB59" s="271"/>
      <c r="AC59" s="271"/>
      <c r="AD59" s="271"/>
      <c r="AE59" s="271"/>
      <c r="AF59" s="271"/>
      <c r="AG59" s="271"/>
      <c r="AH59" s="271"/>
      <c r="AI59" s="271"/>
      <c r="AJ59" s="271"/>
      <c r="AK59" s="271"/>
      <c r="AL59" s="271"/>
      <c r="AM59" s="271"/>
      <c r="AN59" s="271"/>
      <c r="AO59" s="271"/>
      <c r="AP59" s="271"/>
      <c r="AQ59" s="271"/>
      <c r="AR59" s="271"/>
      <c r="AS59" s="271"/>
      <c r="AT59" s="176"/>
      <c r="AU59" s="176"/>
      <c r="AV59" s="176"/>
      <c r="AW59" s="176"/>
      <c r="AX59" s="176"/>
      <c r="AY59" s="176"/>
      <c r="AZ59" s="176"/>
      <c r="BA59" s="176"/>
    </row>
    <row r="60" spans="1:53" ht="256.5" hidden="1">
      <c r="A60" s="760" t="s">
        <v>571</v>
      </c>
      <c r="B60" s="761"/>
      <c r="C60" s="761"/>
      <c r="D60" s="761"/>
      <c r="E60" s="762"/>
      <c r="F60" s="271"/>
      <c r="G60" s="746" t="s">
        <v>600</v>
      </c>
      <c r="H60" s="730"/>
      <c r="I60" s="730"/>
      <c r="J60" s="730"/>
      <c r="K60" s="747"/>
      <c r="L60" s="271"/>
      <c r="M60" s="225" t="s">
        <v>775</v>
      </c>
      <c r="N60" s="179" t="s">
        <v>776</v>
      </c>
      <c r="O60" s="175" t="s">
        <v>696</v>
      </c>
      <c r="P60" s="524">
        <f>VLOOKUP($C$38,$S$40:$AR$56,25,FALSE)</f>
        <v>57</v>
      </c>
      <c r="Q60" s="232" t="s">
        <v>478</v>
      </c>
      <c r="R60" s="271"/>
      <c r="S60" s="509" t="s">
        <v>437</v>
      </c>
      <c r="T60" s="510" t="s">
        <v>438</v>
      </c>
      <c r="U60" s="510" t="s">
        <v>439</v>
      </c>
      <c r="V60" s="510" t="s">
        <v>447</v>
      </c>
      <c r="W60" s="510" t="s">
        <v>777</v>
      </c>
      <c r="X60" s="511" t="s">
        <v>778</v>
      </c>
      <c r="Y60" s="204"/>
      <c r="Z60" s="204"/>
      <c r="AA60" s="271"/>
      <c r="AB60" s="271"/>
      <c r="AC60" s="271"/>
      <c r="AD60" s="271"/>
      <c r="AE60" s="271"/>
      <c r="AF60" s="271"/>
      <c r="AG60" s="271"/>
      <c r="AH60" s="271"/>
      <c r="AI60" s="271"/>
      <c r="AJ60" s="271"/>
      <c r="AK60" s="271"/>
      <c r="AL60" s="271"/>
      <c r="AM60" s="271"/>
      <c r="AN60" s="271"/>
      <c r="AO60" s="271"/>
      <c r="AP60" s="271"/>
      <c r="AQ60" s="271"/>
      <c r="AR60" s="271"/>
      <c r="AS60" s="271"/>
      <c r="AT60" s="176"/>
      <c r="AU60" s="176"/>
      <c r="AV60" s="176"/>
      <c r="AW60" s="176"/>
      <c r="AX60" s="176"/>
      <c r="AY60" s="176"/>
      <c r="AZ60" s="176"/>
      <c r="BA60" s="176"/>
    </row>
    <row r="61" spans="1:53" ht="409.5" hidden="1">
      <c r="A61" s="179" t="s">
        <v>779</v>
      </c>
      <c r="B61" s="179" t="s">
        <v>372</v>
      </c>
      <c r="C61" s="518">
        <v>0</v>
      </c>
      <c r="D61" s="512">
        <v>0</v>
      </c>
      <c r="E61" s="161" t="s">
        <v>594</v>
      </c>
      <c r="F61" s="271"/>
      <c r="G61" s="517" t="s">
        <v>403</v>
      </c>
      <c r="H61" s="190" t="s">
        <v>780</v>
      </c>
      <c r="I61" s="179" t="s">
        <v>781</v>
      </c>
      <c r="J61" s="525">
        <f>IF(ROUNDDOWN((P92-(P89+P87+P88))/(P83+P85+2),0)-12&lt;180000,ROUNDDOWN((P92-(P89+P87+P88))/(P83+P85+2)-12,0),180000)</f>
        <v>180000</v>
      </c>
      <c r="K61" s="232" t="s">
        <v>454</v>
      </c>
      <c r="L61" s="271"/>
      <c r="M61" s="225" t="s">
        <v>782</v>
      </c>
      <c r="N61" s="179" t="s">
        <v>783</v>
      </c>
      <c r="O61" s="175" t="s">
        <v>696</v>
      </c>
      <c r="P61" s="524">
        <f>VLOOKUP($C$38,$S$40:$AR$56,26,FALSE)</f>
        <v>30</v>
      </c>
      <c r="Q61" s="232" t="s">
        <v>478</v>
      </c>
      <c r="R61" s="271"/>
      <c r="S61" s="225" t="s">
        <v>784</v>
      </c>
      <c r="T61" s="179" t="s">
        <v>785</v>
      </c>
      <c r="U61" s="513" t="str">
        <f>IF(OR(C37="A7-50T",C37="A7-100T"),"0x01000bfc","-")</f>
        <v>0x01000bfc</v>
      </c>
      <c r="V61" s="179" t="s">
        <v>786</v>
      </c>
      <c r="W61" s="527" t="str">
        <f>IF(D46="Ultra short","0x"&amp;DEC2HEX(32),"0x"&amp;DEC2HEX(P48))</f>
        <v>0x16E</v>
      </c>
      <c r="X61" s="763" t="s">
        <v>787</v>
      </c>
      <c r="Y61" s="204" t="s">
        <v>788</v>
      </c>
      <c r="Z61" s="204"/>
      <c r="AA61" s="271"/>
      <c r="AB61" s="271"/>
      <c r="AC61" s="271"/>
      <c r="AD61" s="271"/>
      <c r="AE61" s="271"/>
      <c r="AF61" s="271"/>
      <c r="AG61" s="271"/>
      <c r="AH61" s="271"/>
      <c r="AI61" s="271"/>
      <c r="AJ61" s="271"/>
      <c r="AK61" s="271"/>
      <c r="AL61" s="271"/>
      <c r="AM61" s="271"/>
      <c r="AN61" s="271"/>
      <c r="AO61" s="271"/>
      <c r="AP61" s="271"/>
      <c r="AQ61" s="271"/>
      <c r="AR61" s="271"/>
      <c r="AS61" s="271"/>
      <c r="AT61" s="176"/>
      <c r="AU61" s="176"/>
      <c r="AV61" s="176"/>
      <c r="AW61" s="176"/>
      <c r="AX61" s="176"/>
      <c r="AY61" s="176"/>
      <c r="AZ61" s="176"/>
      <c r="BA61" s="176"/>
    </row>
    <row r="62" spans="1:53" ht="162" hidden="1">
      <c r="A62" s="730" t="s">
        <v>789</v>
      </c>
      <c r="B62" s="730"/>
      <c r="C62" s="730"/>
      <c r="D62" s="730"/>
      <c r="E62" s="747"/>
      <c r="F62" s="271"/>
      <c r="G62" s="746" t="s">
        <v>609</v>
      </c>
      <c r="H62" s="730"/>
      <c r="I62" s="730"/>
      <c r="J62" s="730"/>
      <c r="K62" s="747"/>
      <c r="L62" s="271"/>
      <c r="M62" s="225" t="s">
        <v>790</v>
      </c>
      <c r="N62" s="179" t="s">
        <v>791</v>
      </c>
      <c r="O62" s="175" t="s">
        <v>696</v>
      </c>
      <c r="P62" s="524">
        <f>VLOOKUP($C$38,$S$40:$AS$61,27,FALSE)</f>
        <v>7</v>
      </c>
      <c r="Q62" s="232" t="s">
        <v>478</v>
      </c>
      <c r="R62" s="271"/>
      <c r="S62" s="526" t="s">
        <v>792</v>
      </c>
      <c r="T62" s="179" t="s">
        <v>793</v>
      </c>
      <c r="U62" s="179" t="s">
        <v>794</v>
      </c>
      <c r="V62" s="179" t="s">
        <v>795</v>
      </c>
      <c r="W62" s="525">
        <f>IF(D44="TriggerWidth",1,0)</f>
        <v>0</v>
      </c>
      <c r="X62" s="764"/>
      <c r="Y62" s="204"/>
      <c r="Z62" s="204"/>
      <c r="AA62" s="271"/>
      <c r="AB62" s="271"/>
      <c r="AC62" s="271"/>
      <c r="AD62" s="271"/>
      <c r="AE62" s="271"/>
      <c r="AF62" s="271"/>
      <c r="AG62" s="271"/>
      <c r="AH62" s="271"/>
      <c r="AI62" s="271"/>
      <c r="AJ62" s="271"/>
      <c r="AK62" s="271"/>
      <c r="AL62" s="271"/>
      <c r="AM62" s="271"/>
      <c r="AN62" s="271"/>
      <c r="AO62" s="271"/>
      <c r="AP62" s="271"/>
      <c r="AQ62" s="271"/>
      <c r="AR62" s="271"/>
      <c r="AS62" s="271"/>
      <c r="AT62" s="176"/>
      <c r="AU62" s="176"/>
      <c r="AV62" s="176"/>
      <c r="AW62" s="176"/>
      <c r="AX62" s="176"/>
      <c r="AY62" s="176"/>
      <c r="AZ62" s="176"/>
      <c r="BA62" s="176"/>
    </row>
    <row r="63" spans="1:53" ht="256.5" hidden="1">
      <c r="A63" s="179" t="s">
        <v>230</v>
      </c>
      <c r="B63" s="179" t="s">
        <v>796</v>
      </c>
      <c r="C63" s="518" t="s">
        <v>594</v>
      </c>
      <c r="D63" s="512">
        <f>C18</f>
        <v>1000</v>
      </c>
      <c r="E63" s="161" t="s">
        <v>797</v>
      </c>
      <c r="F63" s="271"/>
      <c r="G63" s="519" t="s">
        <v>404</v>
      </c>
      <c r="H63" s="191" t="s">
        <v>609</v>
      </c>
      <c r="I63" s="533" t="s">
        <v>798</v>
      </c>
      <c r="J63" s="534">
        <f>IF((100-ROUNDDOWN(10*P91/(125000*D63),0)-1)&lt;0,0,(100-ROUNDDOWN(10*P91/(125000*D63),0)-1))</f>
        <v>99</v>
      </c>
      <c r="K63" s="535" t="s">
        <v>614</v>
      </c>
      <c r="L63" s="271"/>
      <c r="M63" s="746" t="s">
        <v>799</v>
      </c>
      <c r="N63" s="730"/>
      <c r="O63" s="730"/>
      <c r="P63" s="730"/>
      <c r="Q63" s="747"/>
      <c r="R63" s="271"/>
      <c r="S63" s="225" t="s">
        <v>800</v>
      </c>
      <c r="T63" s="179" t="s">
        <v>801</v>
      </c>
      <c r="U63" s="513" t="str">
        <f>IF(OR(C37="A7-50T",C37="A7-100T"),"0x01000c00","-")</f>
        <v>0x01000c00</v>
      </c>
      <c r="V63" s="179" t="s">
        <v>802</v>
      </c>
      <c r="W63" s="525" t="str">
        <f>"0x"&amp;DEC2HEX(J52)</f>
        <v>0x0</v>
      </c>
      <c r="X63" s="764"/>
      <c r="Y63" s="204"/>
      <c r="Z63" s="204"/>
      <c r="AA63" s="271"/>
      <c r="AB63" s="271"/>
      <c r="AC63" s="271"/>
      <c r="AD63" s="271"/>
      <c r="AE63" s="271"/>
      <c r="AF63" s="271"/>
      <c r="AG63" s="271"/>
      <c r="AH63" s="271"/>
      <c r="AI63" s="271"/>
      <c r="AJ63" s="271"/>
      <c r="AK63" s="271"/>
      <c r="AL63" s="271"/>
      <c r="AM63" s="271"/>
      <c r="AN63" s="271"/>
      <c r="AO63" s="271"/>
      <c r="AP63" s="271"/>
      <c r="AQ63" s="271"/>
      <c r="AR63" s="271"/>
      <c r="AS63" s="271"/>
      <c r="AT63" s="176"/>
      <c r="AU63" s="176"/>
      <c r="AV63" s="176"/>
      <c r="AW63" s="176"/>
      <c r="AX63" s="176"/>
      <c r="AY63" s="176"/>
      <c r="AZ63" s="176"/>
      <c r="BA63" s="176"/>
    </row>
    <row r="64" spans="1:53" ht="175.5" hidden="1">
      <c r="A64" s="179" t="s">
        <v>803</v>
      </c>
      <c r="B64" s="179" t="s">
        <v>221</v>
      </c>
      <c r="C64" s="518">
        <v>1500</v>
      </c>
      <c r="D64" s="512">
        <f t="shared" ref="D64:D68" si="0">C13</f>
        <v>1500</v>
      </c>
      <c r="E64" s="161" t="s">
        <v>454</v>
      </c>
      <c r="F64" s="271"/>
      <c r="G64" s="754" t="s">
        <v>804</v>
      </c>
      <c r="H64" s="730"/>
      <c r="I64" s="730"/>
      <c r="J64" s="730"/>
      <c r="K64" s="747"/>
      <c r="L64" s="271"/>
      <c r="M64" s="509" t="s">
        <v>444</v>
      </c>
      <c r="N64" s="510" t="s">
        <v>438</v>
      </c>
      <c r="O64" s="510" t="s">
        <v>447</v>
      </c>
      <c r="P64" s="510" t="s">
        <v>688</v>
      </c>
      <c r="Q64" s="538" t="s">
        <v>449</v>
      </c>
      <c r="R64" s="271"/>
      <c r="S64" s="225" t="s">
        <v>805</v>
      </c>
      <c r="T64" s="179" t="s">
        <v>806</v>
      </c>
      <c r="U64" s="513" t="str">
        <f>IF(OR(C37="A7-50T",C37="A7-100T"),"0x01000c04","-")</f>
        <v>0x01000c04</v>
      </c>
      <c r="V64" s="179" t="s">
        <v>807</v>
      </c>
      <c r="W64" s="525" t="str">
        <f>"0x"&amp;DEC2HEX(J51)</f>
        <v>0xDA7</v>
      </c>
      <c r="X64" s="764"/>
      <c r="Y64" s="204"/>
      <c r="Z64" s="204"/>
      <c r="AA64" s="271"/>
      <c r="AB64" s="271"/>
      <c r="AC64" s="271"/>
      <c r="AD64" s="271"/>
      <c r="AE64" s="271"/>
      <c r="AF64" s="271"/>
      <c r="AG64" s="271"/>
      <c r="AH64" s="271"/>
      <c r="AI64" s="271"/>
      <c r="AJ64" s="271"/>
      <c r="AK64" s="271"/>
      <c r="AL64" s="271"/>
      <c r="AM64" s="271"/>
      <c r="AN64" s="271"/>
      <c r="AO64" s="271"/>
      <c r="AP64" s="271"/>
      <c r="AQ64" s="271"/>
      <c r="AR64" s="271"/>
      <c r="AS64" s="271"/>
      <c r="AT64" s="176"/>
      <c r="AU64" s="176"/>
      <c r="AV64" s="176"/>
      <c r="AW64" s="176"/>
      <c r="AX64" s="176"/>
      <c r="AY64" s="176"/>
      <c r="AZ64" s="176"/>
      <c r="BA64" s="176"/>
    </row>
    <row r="65" spans="1:53" ht="94.5" hidden="1">
      <c r="A65" s="179" t="str">
        <f>"流通道包间隔(不包括12B最小值的部分) 
范围:0-"&amp;J61</f>
        <v>流通道包间隔(不包括12B最小值的部分) 
范围:0-180000</v>
      </c>
      <c r="B65" s="179" t="s">
        <v>223</v>
      </c>
      <c r="C65" s="518">
        <v>0</v>
      </c>
      <c r="D65" s="512">
        <f t="shared" si="0"/>
        <v>0</v>
      </c>
      <c r="E65" s="161" t="s">
        <v>454</v>
      </c>
      <c r="F65" s="271"/>
      <c r="G65" s="554" t="s">
        <v>808</v>
      </c>
      <c r="H65" s="555" t="s">
        <v>809</v>
      </c>
      <c r="I65" s="556" t="s">
        <v>810</v>
      </c>
      <c r="J65" s="557">
        <f>MAX(INT(D45*1000/J41),1)</f>
        <v>2059</v>
      </c>
      <c r="K65" s="558" t="s">
        <v>469</v>
      </c>
      <c r="L65" s="271"/>
      <c r="M65" s="156" t="s">
        <v>386</v>
      </c>
      <c r="N65" s="175" t="s">
        <v>452</v>
      </c>
      <c r="O65" s="175" t="s">
        <v>453</v>
      </c>
      <c r="P65" s="524">
        <v>7</v>
      </c>
      <c r="Q65" s="203" t="s">
        <v>454</v>
      </c>
      <c r="R65" s="271"/>
      <c r="S65" s="563" t="s">
        <v>811</v>
      </c>
      <c r="T65" s="513" t="s">
        <v>812</v>
      </c>
      <c r="U65" s="513" t="str">
        <f>IF(OR(C37="A7-50T",C37="A7-100T"),"0x01000c08","-")</f>
        <v>0x01000c08</v>
      </c>
      <c r="V65" s="513" t="s">
        <v>813</v>
      </c>
      <c r="W65" s="527" t="str">
        <f>"0x"&amp;DEC2HEX(MAX(J45,J46,J47,J48))</f>
        <v>0x10EF</v>
      </c>
      <c r="X65" s="764"/>
      <c r="Y65" s="204"/>
      <c r="Z65" s="204"/>
      <c r="AA65" s="271"/>
      <c r="AB65" s="271"/>
      <c r="AC65" s="271"/>
      <c r="AD65" s="271"/>
      <c r="AE65" s="271"/>
      <c r="AF65" s="271"/>
      <c r="AG65" s="271"/>
      <c r="AH65" s="271"/>
      <c r="AI65" s="271"/>
      <c r="AJ65" s="271"/>
      <c r="AK65" s="271"/>
      <c r="AL65" s="271"/>
      <c r="AM65" s="271"/>
      <c r="AN65" s="271"/>
      <c r="AO65" s="271"/>
      <c r="AP65" s="271"/>
      <c r="AQ65" s="271"/>
      <c r="AR65" s="271"/>
      <c r="AS65" s="271"/>
      <c r="AT65" s="176"/>
      <c r="AU65" s="176"/>
      <c r="AV65" s="176"/>
      <c r="AW65" s="176"/>
      <c r="AX65" s="176"/>
      <c r="AY65" s="176"/>
      <c r="AZ65" s="176"/>
      <c r="BA65" s="176"/>
    </row>
    <row r="66" spans="1:53" ht="391.5" hidden="1">
      <c r="A66" s="179" t="str">
        <f>"预留带宽 
范围:0-"&amp;J63</f>
        <v>预留带宽 
范围:0-99</v>
      </c>
      <c r="B66" s="179" t="s">
        <v>233</v>
      </c>
      <c r="C66" s="518">
        <v>10</v>
      </c>
      <c r="D66" s="512">
        <f>C19</f>
        <v>10</v>
      </c>
      <c r="E66" s="161" t="s">
        <v>614</v>
      </c>
      <c r="F66" s="271"/>
      <c r="G66" s="175" t="s">
        <v>814</v>
      </c>
      <c r="H66" s="175" t="s">
        <v>815</v>
      </c>
      <c r="I66" s="179" t="s">
        <v>816</v>
      </c>
      <c r="J66" s="525" t="str">
        <f>IF((D51=1)*(D44="TriggerWidth"),ROUNDUP(J45+MAX(ROUNDUP(D49*1000/J41,0),J65)-(J65-ROUNDUP(P60*1000/J41,0)),0),"null")</f>
        <v>null</v>
      </c>
      <c r="K66" s="179" t="s">
        <v>469</v>
      </c>
      <c r="L66" s="271"/>
      <c r="M66" s="156" t="s">
        <v>387</v>
      </c>
      <c r="N66" s="175" t="s">
        <v>462</v>
      </c>
      <c r="O66" s="175" t="s">
        <v>463</v>
      </c>
      <c r="P66" s="524">
        <v>1</v>
      </c>
      <c r="Q66" s="203" t="s">
        <v>454</v>
      </c>
      <c r="R66" s="271"/>
      <c r="S66" s="563" t="s">
        <v>817</v>
      </c>
      <c r="T66" s="513" t="s">
        <v>818</v>
      </c>
      <c r="U66" s="513" t="str">
        <f>IF(OR(C37="A7-50T",C37="A7-100T"),"0x01000c10","-")</f>
        <v>0x01000c10</v>
      </c>
      <c r="V66" s="513" t="s">
        <v>813</v>
      </c>
      <c r="W66" s="527" t="str">
        <f>"0x"&amp;DEC2HEX(MAX(J45,J46))</f>
        <v>0xDB9</v>
      </c>
      <c r="X66" s="764"/>
      <c r="Y66" s="271"/>
      <c r="Z66" s="271"/>
      <c r="AA66" s="204"/>
      <c r="AB66" s="204"/>
      <c r="AC66" s="271"/>
      <c r="AD66" s="271"/>
      <c r="AE66" s="271"/>
      <c r="AF66" s="271"/>
      <c r="AG66" s="271"/>
      <c r="AH66" s="271"/>
      <c r="AI66" s="271"/>
      <c r="AJ66" s="271"/>
      <c r="AK66" s="271"/>
      <c r="AL66" s="271"/>
      <c r="AM66" s="271"/>
      <c r="AN66" s="271"/>
      <c r="AO66" s="271"/>
      <c r="AP66" s="271"/>
      <c r="AQ66" s="271"/>
      <c r="AR66" s="271"/>
      <c r="AS66" s="271"/>
      <c r="AT66" s="176"/>
      <c r="AU66" s="176"/>
      <c r="AV66" s="176"/>
      <c r="AW66" s="176"/>
      <c r="AX66" s="176"/>
      <c r="AY66" s="176"/>
      <c r="AZ66" s="176"/>
      <c r="BA66" s="176"/>
    </row>
    <row r="67" spans="1:53" ht="310.5" hidden="1">
      <c r="A67" s="730" t="s">
        <v>552</v>
      </c>
      <c r="B67" s="730"/>
      <c r="C67" s="730"/>
      <c r="D67" s="730"/>
      <c r="E67" s="747"/>
      <c r="F67" s="271"/>
      <c r="G67" s="175" t="s">
        <v>819</v>
      </c>
      <c r="H67" s="175" t="s">
        <v>820</v>
      </c>
      <c r="I67" s="179" t="s">
        <v>821</v>
      </c>
      <c r="J67" s="525" t="str">
        <f>IF((D44="TriggerWidth")*(D51=1),MAX(ROUNDUP(D49*1000/J41,0),J65)+ROUNDUP(P61*1000/J41,0),"null")</f>
        <v>null</v>
      </c>
      <c r="K67" s="179" t="s">
        <v>469</v>
      </c>
      <c r="L67" s="271"/>
      <c r="M67" s="156" t="s">
        <v>388</v>
      </c>
      <c r="N67" s="175" t="s">
        <v>470</v>
      </c>
      <c r="O67" s="175" t="s">
        <v>471</v>
      </c>
      <c r="P67" s="524">
        <v>14</v>
      </c>
      <c r="Q67" s="203" t="s">
        <v>454</v>
      </c>
      <c r="R67" s="271"/>
      <c r="S67" s="564" t="s">
        <v>822</v>
      </c>
      <c r="T67" s="565" t="s">
        <v>823</v>
      </c>
      <c r="U67" s="565" t="str">
        <f>IF(OR(C37="A7-50T",C37="A7-100T"),"0x01000c0c","-")</f>
        <v>0x01000c0c</v>
      </c>
      <c r="V67" s="565" t="s">
        <v>813</v>
      </c>
      <c r="W67" s="527" t="str">
        <f>"0x"&amp;IF(D52="HighSpeed",IF(D44="TriggerWidth",DEC2HEX(MAX(J45,J47)),DEC2HEX(MAX(J45,J46,J47))),IF(D44="TriggerWidth",DEC2HEX(MAX(J45,J47,P95)),DEC2HEX(MAX(J45,J46,J47,P95))))</f>
        <v>0xF3D</v>
      </c>
      <c r="X67" s="765"/>
      <c r="Y67" s="271"/>
      <c r="Z67" s="271"/>
      <c r="AA67" s="204"/>
      <c r="AB67" s="204"/>
      <c r="AC67" s="271"/>
      <c r="AD67" s="271"/>
      <c r="AE67" s="271"/>
      <c r="AF67" s="271"/>
      <c r="AG67" s="271"/>
      <c r="AH67" s="271"/>
      <c r="AI67" s="271"/>
      <c r="AJ67" s="271"/>
      <c r="AK67" s="271"/>
      <c r="AL67" s="271"/>
      <c r="AM67" s="271"/>
      <c r="AN67" s="271"/>
      <c r="AO67" s="271"/>
      <c r="AP67" s="271"/>
      <c r="AQ67" s="271"/>
      <c r="AR67" s="271"/>
      <c r="AS67" s="271"/>
      <c r="AT67" s="176"/>
      <c r="AU67" s="176"/>
      <c r="AV67" s="176"/>
      <c r="AW67" s="176"/>
      <c r="AX67" s="176"/>
      <c r="AY67" s="176"/>
      <c r="AZ67" s="176"/>
      <c r="BA67" s="176"/>
    </row>
    <row r="68" spans="1:53" ht="108" hidden="1">
      <c r="A68" s="179" t="s">
        <v>824</v>
      </c>
      <c r="B68" s="179" t="s">
        <v>558</v>
      </c>
      <c r="C68" s="179">
        <v>0</v>
      </c>
      <c r="D68" s="512">
        <f t="shared" si="0"/>
        <v>0</v>
      </c>
      <c r="E68" s="161" t="s">
        <v>594</v>
      </c>
      <c r="F68" s="271"/>
      <c r="G68" s="271"/>
      <c r="H68" s="271"/>
      <c r="I68" s="271"/>
      <c r="J68" s="271"/>
      <c r="K68" s="271"/>
      <c r="L68" s="271"/>
      <c r="M68" s="156" t="s">
        <v>389</v>
      </c>
      <c r="N68" s="175" t="s">
        <v>479</v>
      </c>
      <c r="O68" s="175" t="s">
        <v>480</v>
      </c>
      <c r="P68" s="524">
        <v>20</v>
      </c>
      <c r="Q68" s="203" t="s">
        <v>454</v>
      </c>
      <c r="R68" s="271"/>
      <c r="S68" s="563" t="s">
        <v>825</v>
      </c>
      <c r="T68" s="513" t="s">
        <v>826</v>
      </c>
      <c r="U68" s="513" t="s">
        <v>827</v>
      </c>
      <c r="V68" s="513" t="s">
        <v>828</v>
      </c>
      <c r="W68" s="527" t="str">
        <f>"0x"&amp;DEC2HEX(J65)</f>
        <v>0x80B</v>
      </c>
      <c r="X68" s="566"/>
      <c r="Y68" s="271"/>
      <c r="Z68" s="271"/>
      <c r="AA68" s="271"/>
      <c r="AB68" s="271"/>
      <c r="AC68" s="271"/>
      <c r="AD68" s="271"/>
      <c r="AE68" s="271"/>
      <c r="AF68" s="271"/>
      <c r="AG68" s="271"/>
      <c r="AH68" s="271"/>
      <c r="AI68" s="271"/>
      <c r="AJ68" s="271"/>
      <c r="AK68" s="271"/>
      <c r="AL68" s="271"/>
      <c r="AM68" s="271"/>
      <c r="AN68" s="271"/>
      <c r="AO68" s="271"/>
      <c r="AP68" s="271"/>
      <c r="AQ68" s="271"/>
      <c r="AR68" s="271"/>
      <c r="AS68" s="271"/>
      <c r="AT68" s="176"/>
      <c r="AU68" s="176"/>
      <c r="AV68" s="176"/>
      <c r="AW68" s="176"/>
      <c r="AX68" s="176"/>
      <c r="AY68" s="176"/>
      <c r="AZ68" s="176"/>
      <c r="BA68" s="176"/>
    </row>
    <row r="69" spans="1:53" ht="54" hidden="1">
      <c r="A69" s="179" t="s">
        <v>552</v>
      </c>
      <c r="B69" s="179" t="s">
        <v>565</v>
      </c>
      <c r="C69" s="179">
        <f>VLOOKUP($C$38,$S$40:$AN$56,21,FALSE)</f>
        <v>22</v>
      </c>
      <c r="D69" s="512">
        <f>C16</f>
        <v>22</v>
      </c>
      <c r="E69" s="161" t="s">
        <v>488</v>
      </c>
      <c r="F69" s="271"/>
      <c r="G69" s="271"/>
      <c r="H69" s="271"/>
      <c r="I69" s="271"/>
      <c r="J69" s="271"/>
      <c r="K69" s="271"/>
      <c r="L69" s="271"/>
      <c r="M69" s="156" t="s">
        <v>390</v>
      </c>
      <c r="N69" s="175" t="s">
        <v>489</v>
      </c>
      <c r="O69" s="175" t="s">
        <v>490</v>
      </c>
      <c r="P69" s="524">
        <v>8</v>
      </c>
      <c r="Q69" s="203" t="s">
        <v>454</v>
      </c>
      <c r="R69" s="271"/>
      <c r="S69" s="211" t="s">
        <v>829</v>
      </c>
      <c r="T69" s="179" t="s">
        <v>830</v>
      </c>
      <c r="U69" s="513" t="str">
        <f>IF(OR(C37="A7-50T",C37="A7-100T"),"0x01100000",IF(C37="EFX","0xF8140000","0x77601500"))</f>
        <v>0x01100000</v>
      </c>
      <c r="V69" s="179" t="s">
        <v>831</v>
      </c>
      <c r="W69" s="525" t="s">
        <v>832</v>
      </c>
      <c r="X69" s="566"/>
      <c r="Y69" s="271"/>
      <c r="Z69" s="271"/>
      <c r="AA69" s="271"/>
      <c r="AB69" s="271"/>
      <c r="AC69" s="271"/>
      <c r="AD69" s="271"/>
      <c r="AE69" s="271"/>
      <c r="AF69" s="271"/>
      <c r="AG69" s="271"/>
      <c r="AH69" s="271"/>
      <c r="AI69" s="271"/>
      <c r="AJ69" s="271"/>
      <c r="AK69" s="271"/>
      <c r="AL69" s="271"/>
      <c r="AM69" s="271"/>
      <c r="AN69" s="271"/>
      <c r="AO69" s="271"/>
      <c r="AP69" s="271"/>
      <c r="AQ69" s="271"/>
      <c r="AR69" s="271"/>
      <c r="AS69" s="271"/>
      <c r="AT69" s="176"/>
      <c r="AU69" s="176"/>
      <c r="AV69" s="176"/>
      <c r="AW69" s="176"/>
      <c r="AX69" s="176"/>
      <c r="AY69" s="176"/>
      <c r="AZ69" s="176"/>
      <c r="BA69" s="176"/>
    </row>
    <row r="70" spans="1:53" ht="175.5" hidden="1">
      <c r="A70" s="755" t="s">
        <v>833</v>
      </c>
      <c r="B70" s="755"/>
      <c r="C70" s="755"/>
      <c r="D70" s="755"/>
      <c r="E70" s="756"/>
      <c r="F70" s="271"/>
      <c r="G70" s="271"/>
      <c r="H70" s="271"/>
      <c r="I70" s="559"/>
      <c r="J70" s="271"/>
      <c r="K70" s="271"/>
      <c r="L70" s="271"/>
      <c r="M70" s="156" t="s">
        <v>391</v>
      </c>
      <c r="N70" s="175" t="s">
        <v>494</v>
      </c>
      <c r="O70" s="175" t="s">
        <v>490</v>
      </c>
      <c r="P70" s="524">
        <v>8</v>
      </c>
      <c r="Q70" s="203" t="s">
        <v>454</v>
      </c>
      <c r="R70" s="271"/>
      <c r="S70" s="211" t="s">
        <v>834</v>
      </c>
      <c r="T70" s="179" t="s">
        <v>835</v>
      </c>
      <c r="U70" s="513" t="s">
        <v>836</v>
      </c>
      <c r="V70" s="179" t="s">
        <v>837</v>
      </c>
      <c r="W70" s="525" t="str">
        <f>"0x"&amp;(IF(D44="Ultra Short",0,1))</f>
        <v>0x1</v>
      </c>
      <c r="X70" s="566" t="s">
        <v>838</v>
      </c>
      <c r="Y70" s="204" t="s">
        <v>839</v>
      </c>
      <c r="Z70" s="271"/>
      <c r="AA70" s="204"/>
      <c r="AB70" s="204"/>
      <c r="AC70" s="271"/>
      <c r="AD70" s="271"/>
      <c r="AE70" s="271"/>
      <c r="AF70" s="271"/>
      <c r="AG70" s="271"/>
      <c r="AH70" s="271"/>
      <c r="AI70" s="271"/>
      <c r="AJ70" s="271"/>
      <c r="AK70" s="271"/>
      <c r="AL70" s="271"/>
      <c r="AM70" s="271"/>
      <c r="AN70" s="271"/>
      <c r="AO70" s="271"/>
      <c r="AP70" s="271"/>
      <c r="AQ70" s="271"/>
      <c r="AR70" s="271"/>
      <c r="AS70" s="271"/>
      <c r="AT70" s="176"/>
      <c r="AU70" s="176"/>
      <c r="AV70" s="176"/>
      <c r="AW70" s="176"/>
      <c r="AX70" s="176"/>
      <c r="AY70" s="176"/>
      <c r="AZ70" s="176"/>
      <c r="BA70" s="176"/>
    </row>
    <row r="71" spans="1:53" ht="135" hidden="1">
      <c r="A71" s="179" t="s">
        <v>840</v>
      </c>
      <c r="B71" s="179" t="s">
        <v>841</v>
      </c>
      <c r="C71" s="179">
        <v>1</v>
      </c>
      <c r="D71" s="512">
        <f t="shared" ref="D71:D74" si="1">C6</f>
        <v>1</v>
      </c>
      <c r="E71" s="161" t="s">
        <v>594</v>
      </c>
      <c r="F71" s="271"/>
      <c r="G71" s="271"/>
      <c r="H71" s="271"/>
      <c r="I71" s="174"/>
      <c r="J71" s="271"/>
      <c r="K71" s="271"/>
      <c r="L71" s="271"/>
      <c r="M71" s="156" t="s">
        <v>392</v>
      </c>
      <c r="N71" s="175" t="s">
        <v>498</v>
      </c>
      <c r="O71" s="175" t="s">
        <v>499</v>
      </c>
      <c r="P71" s="524">
        <v>4</v>
      </c>
      <c r="Q71" s="203" t="s">
        <v>454</v>
      </c>
      <c r="R71" s="271"/>
      <c r="S71" s="211" t="s">
        <v>842</v>
      </c>
      <c r="T71" s="179" t="s">
        <v>843</v>
      </c>
      <c r="U71" s="513" t="str">
        <f>IF(OR(C37="A7-50T",C37="A7-100T"),"0x01000bf8","-")</f>
        <v>0x01000bf8</v>
      </c>
      <c r="V71" s="179" t="s">
        <v>844</v>
      </c>
      <c r="W71" s="525" t="str">
        <f>"0x"&amp;(IF(D46="Ultra Short",0,1))</f>
        <v>0x1</v>
      </c>
      <c r="X71" s="566" t="s">
        <v>845</v>
      </c>
      <c r="Y71" s="204" t="s">
        <v>846</v>
      </c>
      <c r="Z71" s="271"/>
      <c r="AA71" s="204"/>
      <c r="AB71" s="204"/>
      <c r="AC71" s="271"/>
      <c r="AD71" s="271"/>
      <c r="AE71" s="271"/>
      <c r="AF71" s="271"/>
      <c r="AG71" s="271"/>
      <c r="AH71" s="271"/>
      <c r="AI71" s="271"/>
      <c r="AJ71" s="271"/>
      <c r="AK71" s="271"/>
      <c r="AL71" s="271"/>
      <c r="AM71" s="271"/>
      <c r="AN71" s="271"/>
      <c r="AO71" s="271"/>
      <c r="AP71" s="271"/>
      <c r="AQ71" s="271"/>
      <c r="AR71" s="271"/>
      <c r="AS71" s="271"/>
      <c r="AT71" s="176"/>
      <c r="AU71" s="176"/>
      <c r="AV71" s="176"/>
      <c r="AW71" s="176"/>
      <c r="AX71" s="176"/>
      <c r="AY71" s="176"/>
      <c r="AZ71" s="176"/>
      <c r="BA71" s="176"/>
    </row>
    <row r="72" spans="1:53" ht="121.5" hidden="1">
      <c r="A72" s="533" t="s">
        <v>847</v>
      </c>
      <c r="B72" s="533" t="s">
        <v>848</v>
      </c>
      <c r="C72" s="533">
        <v>1</v>
      </c>
      <c r="D72" s="512">
        <f t="shared" si="1"/>
        <v>1</v>
      </c>
      <c r="E72" s="233" t="s">
        <v>594</v>
      </c>
      <c r="F72" s="271"/>
      <c r="G72" s="271"/>
      <c r="H72" s="271"/>
      <c r="I72" s="271"/>
      <c r="J72" s="271"/>
      <c r="K72" s="271"/>
      <c r="L72" s="271"/>
      <c r="M72" s="156" t="s">
        <v>331</v>
      </c>
      <c r="N72" s="175" t="s">
        <v>330</v>
      </c>
      <c r="O72" s="175" t="s">
        <v>504</v>
      </c>
      <c r="P72" s="524">
        <v>12</v>
      </c>
      <c r="Q72" s="203" t="s">
        <v>454</v>
      </c>
      <c r="R72" s="271"/>
      <c r="S72" s="211" t="s">
        <v>399</v>
      </c>
      <c r="T72" s="179" t="s">
        <v>849</v>
      </c>
      <c r="U72" s="513" t="str">
        <f>IF(OR(C37="A7-50T",C37="A7-100T"),"0x01000c14","-")</f>
        <v>0x01000c14</v>
      </c>
      <c r="V72" s="179" t="s">
        <v>850</v>
      </c>
      <c r="W72" s="525" t="str">
        <f>"0x"&amp;DEC2HEX(J45)</f>
        <v>0x819</v>
      </c>
      <c r="X72" s="566" t="s">
        <v>851</v>
      </c>
      <c r="Y72" s="271"/>
      <c r="Z72" s="271"/>
      <c r="AA72" s="204"/>
      <c r="AB72" s="204"/>
      <c r="AC72" s="271"/>
      <c r="AD72" s="271"/>
      <c r="AE72" s="271"/>
      <c r="AF72" s="271"/>
      <c r="AG72" s="271"/>
      <c r="AH72" s="271"/>
      <c r="AI72" s="271"/>
      <c r="AJ72" s="271"/>
      <c r="AK72" s="271"/>
      <c r="AL72" s="271"/>
      <c r="AM72" s="271"/>
      <c r="AN72" s="271"/>
      <c r="AO72" s="271"/>
      <c r="AP72" s="271"/>
      <c r="AQ72" s="271"/>
      <c r="AR72" s="271"/>
      <c r="AS72" s="271"/>
      <c r="AT72" s="176"/>
      <c r="AU72" s="176"/>
      <c r="AV72" s="176"/>
      <c r="AW72" s="176"/>
      <c r="AX72" s="176"/>
      <c r="AY72" s="176"/>
      <c r="AZ72" s="176"/>
      <c r="BA72" s="176"/>
    </row>
    <row r="73" spans="1:53" ht="108" hidden="1">
      <c r="A73" s="179" t="s">
        <v>852</v>
      </c>
      <c r="B73" s="179" t="s">
        <v>853</v>
      </c>
      <c r="C73" s="179">
        <v>1</v>
      </c>
      <c r="D73" s="512">
        <f t="shared" si="1"/>
        <v>1</v>
      </c>
      <c r="E73" s="161" t="s">
        <v>594</v>
      </c>
      <c r="F73" s="271"/>
      <c r="G73" s="271"/>
      <c r="H73" s="271"/>
      <c r="I73" s="271"/>
      <c r="J73" s="271"/>
      <c r="K73" s="271"/>
      <c r="L73" s="271"/>
      <c r="M73" s="156" t="s">
        <v>341</v>
      </c>
      <c r="N73" s="179" t="s">
        <v>511</v>
      </c>
      <c r="O73" s="175" t="s">
        <v>512</v>
      </c>
      <c r="P73" s="524">
        <f>P68+P69+P70</f>
        <v>36</v>
      </c>
      <c r="Q73" s="203" t="s">
        <v>454</v>
      </c>
      <c r="R73" s="271"/>
      <c r="S73" s="211" t="s">
        <v>854</v>
      </c>
      <c r="T73" s="179" t="s">
        <v>855</v>
      </c>
      <c r="U73" s="513" t="str">
        <f>IF(OR(C37="A7-50T",C37="A7-100T"),"0x01200100",IF(C37="EFX","0xF8160100","0x7760144c"))</f>
        <v>0x01200100</v>
      </c>
      <c r="V73" s="179" t="s">
        <v>856</v>
      </c>
      <c r="W73" s="525" t="str">
        <f>"0x"&amp;DEC2HEX(D64-P73)</f>
        <v>0x5B8</v>
      </c>
      <c r="X73" s="566" t="s">
        <v>857</v>
      </c>
      <c r="Y73" s="271"/>
      <c r="Z73" s="271"/>
      <c r="AA73" s="204"/>
      <c r="AB73" s="204"/>
      <c r="AC73" s="271"/>
      <c r="AD73" s="271"/>
      <c r="AE73" s="271"/>
      <c r="AF73" s="271"/>
      <c r="AG73" s="271"/>
      <c r="AH73" s="271"/>
      <c r="AI73" s="271"/>
      <c r="AJ73" s="271"/>
      <c r="AK73" s="271"/>
      <c r="AL73" s="271"/>
      <c r="AM73" s="271"/>
      <c r="AN73" s="271"/>
      <c r="AO73" s="271"/>
      <c r="AP73" s="271"/>
      <c r="AQ73" s="271"/>
      <c r="AR73" s="271"/>
      <c r="AS73" s="271"/>
      <c r="AT73" s="176"/>
      <c r="AU73" s="176"/>
      <c r="AV73" s="176"/>
      <c r="AW73" s="176"/>
      <c r="AX73" s="176"/>
      <c r="AY73" s="176"/>
      <c r="AZ73" s="176"/>
      <c r="BA73" s="176"/>
    </row>
    <row r="74" spans="1:53" ht="54" hidden="1">
      <c r="A74" s="533" t="s">
        <v>858</v>
      </c>
      <c r="B74" s="533" t="s">
        <v>859</v>
      </c>
      <c r="C74" s="533">
        <v>1</v>
      </c>
      <c r="D74" s="512">
        <f t="shared" si="1"/>
        <v>1</v>
      </c>
      <c r="E74" s="233" t="s">
        <v>594</v>
      </c>
      <c r="F74" s="271"/>
      <c r="G74" s="271"/>
      <c r="H74" s="271"/>
      <c r="I74" s="271"/>
      <c r="J74" s="271"/>
      <c r="K74" s="271"/>
      <c r="L74" s="271"/>
      <c r="M74" s="156" t="s">
        <v>343</v>
      </c>
      <c r="N74" s="179" t="s">
        <v>519</v>
      </c>
      <c r="O74" s="175" t="s">
        <v>520</v>
      </c>
      <c r="P74" s="524">
        <f>P65+P66+P67+P71</f>
        <v>26</v>
      </c>
      <c r="Q74" s="203" t="s">
        <v>454</v>
      </c>
      <c r="R74" s="271"/>
      <c r="S74" s="567" t="s">
        <v>860</v>
      </c>
      <c r="T74" s="533" t="s">
        <v>861</v>
      </c>
      <c r="U74" s="568" t="str">
        <f>IF(OR(C37="A7-50T",C37="A7-100T"),"0x01400080",IF(C37="EFX","0xF81A0080","0x776014c0"))</f>
        <v>0x01400080</v>
      </c>
      <c r="V74" s="533" t="s">
        <v>862</v>
      </c>
      <c r="W74" s="534" t="str">
        <f>"0x"&amp;DEC2HEX(D65)</f>
        <v>0x0</v>
      </c>
      <c r="X74" s="569" t="s">
        <v>863</v>
      </c>
      <c r="Y74" s="271"/>
      <c r="Z74" s="271"/>
      <c r="AA74" s="204"/>
      <c r="AB74" s="204"/>
      <c r="AC74" s="271"/>
      <c r="AD74" s="271"/>
      <c r="AE74" s="271"/>
      <c r="AF74" s="271"/>
      <c r="AG74" s="271"/>
      <c r="AH74" s="271"/>
      <c r="AI74" s="271"/>
      <c r="AJ74" s="271"/>
      <c r="AK74" s="271"/>
      <c r="AL74" s="271"/>
      <c r="AM74" s="271"/>
      <c r="AN74" s="271"/>
      <c r="AO74" s="271"/>
      <c r="AP74" s="271"/>
      <c r="AQ74" s="271"/>
      <c r="AR74" s="271"/>
      <c r="AS74" s="271"/>
      <c r="AT74" s="176"/>
      <c r="AU74" s="176"/>
      <c r="AV74" s="176"/>
      <c r="AW74" s="176"/>
      <c r="AX74" s="176"/>
      <c r="AY74" s="176"/>
      <c r="AZ74" s="176"/>
      <c r="BA74" s="176"/>
    </row>
    <row r="75" spans="1:53" ht="148.5" hidden="1">
      <c r="A75" s="757" t="s">
        <v>272</v>
      </c>
      <c r="B75" s="758"/>
      <c r="C75" s="758"/>
      <c r="D75" s="758"/>
      <c r="E75" s="759"/>
      <c r="F75" s="271"/>
      <c r="G75" s="271"/>
      <c r="H75" s="271"/>
      <c r="I75" s="271"/>
      <c r="J75" s="271"/>
      <c r="K75" s="271"/>
      <c r="L75" s="271"/>
      <c r="M75" s="156" t="s">
        <v>345</v>
      </c>
      <c r="N75" s="175" t="s">
        <v>344</v>
      </c>
      <c r="O75" s="175" t="s">
        <v>525</v>
      </c>
      <c r="P75" s="524">
        <f>64-P67-P71-P73</f>
        <v>10</v>
      </c>
      <c r="Q75" s="203" t="s">
        <v>454</v>
      </c>
      <c r="R75" s="271"/>
      <c r="S75" s="570" t="s">
        <v>864</v>
      </c>
      <c r="T75" s="568" t="s">
        <v>865</v>
      </c>
      <c r="U75" s="568" t="str">
        <f>IF(OR(C37="A7-50T",C37="A7-100T"),"0x01100010",IF(C37="EFX","0xF8140010","0x7760147c"))</f>
        <v>0x01100010</v>
      </c>
      <c r="V75" s="568" t="s">
        <v>866</v>
      </c>
      <c r="W75" s="571" t="str">
        <f>"0x"&amp;DEC2HEX(ROUNDUP((J41-P56/P58*1000000/P59)/(1000000/P59),0))</f>
        <v>0xA9</v>
      </c>
      <c r="X75" s="572" t="s">
        <v>867</v>
      </c>
      <c r="Y75" s="271"/>
      <c r="Z75" s="271"/>
      <c r="AA75" s="204"/>
      <c r="AB75" s="204"/>
      <c r="AC75" s="271"/>
      <c r="AD75" s="271"/>
      <c r="AE75" s="271"/>
      <c r="AF75" s="271"/>
      <c r="AG75" s="271"/>
      <c r="AH75" s="271"/>
      <c r="AI75" s="271"/>
      <c r="AJ75" s="271"/>
      <c r="AK75" s="271"/>
      <c r="AL75" s="271"/>
      <c r="AM75" s="271"/>
      <c r="AN75" s="271"/>
      <c r="AO75" s="271"/>
      <c r="AP75" s="271"/>
      <c r="AQ75" s="271"/>
      <c r="AR75" s="271"/>
      <c r="AS75" s="271"/>
      <c r="AT75" s="176"/>
      <c r="AU75" s="176"/>
      <c r="AV75" s="176"/>
      <c r="AW75" s="176"/>
      <c r="AX75" s="176"/>
      <c r="AY75" s="176"/>
      <c r="AZ75" s="176"/>
      <c r="BA75" s="176"/>
    </row>
    <row r="76" spans="1:53" ht="27" hidden="1">
      <c r="A76" s="224" t="s">
        <v>252</v>
      </c>
      <c r="B76" s="743" t="s">
        <v>407</v>
      </c>
      <c r="C76" s="743"/>
      <c r="D76" s="744">
        <f>J43</f>
        <v>20.167796063246207</v>
      </c>
      <c r="E76" s="745"/>
      <c r="F76" s="271"/>
      <c r="G76" s="271"/>
      <c r="H76" s="271"/>
      <c r="I76" s="271"/>
      <c r="J76" s="271"/>
      <c r="K76" s="271"/>
      <c r="L76" s="271"/>
      <c r="M76" s="746" t="s">
        <v>868</v>
      </c>
      <c r="N76" s="730"/>
      <c r="O76" s="730"/>
      <c r="P76" s="730"/>
      <c r="Q76" s="747"/>
      <c r="R76" s="271"/>
      <c r="S76" s="748" t="s">
        <v>869</v>
      </c>
      <c r="T76" s="749"/>
      <c r="U76" s="749"/>
      <c r="V76" s="749"/>
      <c r="W76" s="749"/>
      <c r="X76" s="750"/>
      <c r="Y76" s="271"/>
      <c r="Z76" s="271"/>
      <c r="AA76" s="271"/>
      <c r="AB76" s="271"/>
      <c r="AC76" s="271"/>
      <c r="AD76" s="271"/>
      <c r="AE76" s="271"/>
      <c r="AF76" s="271"/>
      <c r="AG76" s="271"/>
      <c r="AH76" s="271"/>
      <c r="AI76" s="271"/>
      <c r="AJ76" s="271"/>
      <c r="AK76" s="271"/>
      <c r="AL76" s="271"/>
      <c r="AM76" s="271"/>
      <c r="AN76" s="271"/>
      <c r="AO76" s="271"/>
      <c r="AP76" s="271"/>
      <c r="AQ76" s="271"/>
      <c r="AR76" s="271"/>
      <c r="AS76" s="271"/>
      <c r="AT76" s="176"/>
      <c r="AU76" s="176"/>
      <c r="AV76" s="176"/>
      <c r="AW76" s="176"/>
      <c r="AX76" s="176"/>
      <c r="AY76" s="176"/>
      <c r="AZ76" s="176"/>
      <c r="BA76" s="176"/>
    </row>
    <row r="77" spans="1:53" ht="121.5" hidden="1">
      <c r="A77" s="271"/>
      <c r="B77" s="271"/>
      <c r="C77" s="271"/>
      <c r="D77" s="174"/>
      <c r="E77" s="174"/>
      <c r="F77" s="271"/>
      <c r="G77" s="271"/>
      <c r="H77" s="271"/>
      <c r="I77" s="271"/>
      <c r="J77" s="271"/>
      <c r="K77" s="271"/>
      <c r="L77" s="271"/>
      <c r="M77" s="509" t="s">
        <v>444</v>
      </c>
      <c r="N77" s="510" t="s">
        <v>438</v>
      </c>
      <c r="O77" s="510" t="s">
        <v>447</v>
      </c>
      <c r="P77" s="510" t="s">
        <v>688</v>
      </c>
      <c r="Q77" s="538" t="s">
        <v>449</v>
      </c>
      <c r="R77" s="271"/>
      <c r="S77" s="570" t="s">
        <v>870</v>
      </c>
      <c r="T77" s="568" t="s">
        <v>871</v>
      </c>
      <c r="U77" s="568" t="str">
        <f>IF(OR(C37="A7-50T",C37="A7-100T"),"0x1000e100 ","-")</f>
        <v xml:space="preserve">0x1000e100 </v>
      </c>
      <c r="V77" s="568" t="s">
        <v>872</v>
      </c>
      <c r="W77" s="571" t="str">
        <f>IF(D46="Ultra short","0x"&amp;DEC2HEX(ROUNDDOWN(J50/P49,0)),"-")</f>
        <v>-</v>
      </c>
      <c r="X77" s="752" t="s">
        <v>873</v>
      </c>
      <c r="Y77" s="271"/>
      <c r="Z77" s="271"/>
      <c r="AA77" s="271"/>
      <c r="AB77" s="271"/>
      <c r="AC77" s="271"/>
      <c r="AD77" s="271"/>
      <c r="AE77" s="271"/>
      <c r="AF77" s="271"/>
      <c r="AG77" s="271"/>
      <c r="AH77" s="271"/>
      <c r="AI77" s="271"/>
      <c r="AJ77" s="271"/>
      <c r="AK77" s="271"/>
      <c r="AL77" s="271"/>
      <c r="AM77" s="271"/>
      <c r="AN77" s="271"/>
      <c r="AO77" s="271"/>
      <c r="AP77" s="271"/>
      <c r="AQ77" s="271"/>
      <c r="AR77" s="271"/>
      <c r="AS77" s="271"/>
      <c r="AT77" s="176"/>
      <c r="AU77" s="176"/>
      <c r="AV77" s="176"/>
      <c r="AW77" s="176"/>
      <c r="AX77" s="176"/>
      <c r="AY77" s="176"/>
      <c r="AZ77" s="176"/>
      <c r="BA77" s="176"/>
    </row>
    <row r="78" spans="1:53" ht="121.5" hidden="1">
      <c r="A78" s="271"/>
      <c r="B78" s="271"/>
      <c r="C78" s="271"/>
      <c r="D78" s="174"/>
      <c r="E78" s="174"/>
      <c r="F78" s="271"/>
      <c r="G78" s="271"/>
      <c r="H78" s="271"/>
      <c r="I78" s="271"/>
      <c r="J78" s="271"/>
      <c r="K78" s="271"/>
      <c r="L78" s="271"/>
      <c r="M78" s="156" t="s">
        <v>393</v>
      </c>
      <c r="N78" s="179" t="s">
        <v>874</v>
      </c>
      <c r="O78" s="175" t="s">
        <v>543</v>
      </c>
      <c r="P78" s="524">
        <f>36</f>
        <v>36</v>
      </c>
      <c r="Q78" s="203" t="s">
        <v>454</v>
      </c>
      <c r="R78" s="271"/>
      <c r="S78" s="570" t="s">
        <v>875</v>
      </c>
      <c r="T78" s="568" t="s">
        <v>876</v>
      </c>
      <c r="U78" s="568" t="str">
        <f>IF(OR(C37="A7-50T",C37="A7-100T"),"0x1000e108 ","-")</f>
        <v xml:space="preserve">0x1000e108 </v>
      </c>
      <c r="V78" s="568" t="s">
        <v>872</v>
      </c>
      <c r="W78" s="571" t="str">
        <f>IF(D46="Ultra short","0x"&amp;DEC2HEX(MOD(J50,P49)),"-")</f>
        <v>-</v>
      </c>
      <c r="X78" s="753"/>
      <c r="Y78" s="271"/>
      <c r="Z78" s="271"/>
      <c r="AA78" s="271"/>
      <c r="AB78" s="271"/>
      <c r="AC78" s="271"/>
      <c r="AD78" s="271"/>
      <c r="AE78" s="271"/>
      <c r="AF78" s="271"/>
      <c r="AG78" s="271"/>
      <c r="AH78" s="271"/>
      <c r="AI78" s="271"/>
      <c r="AJ78" s="271"/>
      <c r="AK78" s="271"/>
      <c r="AL78" s="271"/>
      <c r="AM78" s="271"/>
      <c r="AN78" s="271"/>
      <c r="AO78" s="271"/>
      <c r="AP78" s="271"/>
      <c r="AQ78" s="271"/>
      <c r="AR78" s="271"/>
      <c r="AS78" s="271"/>
      <c r="AT78" s="176"/>
      <c r="AU78" s="176"/>
      <c r="AV78" s="176"/>
      <c r="AW78" s="176"/>
      <c r="AX78" s="176"/>
      <c r="AY78" s="176"/>
      <c r="AZ78" s="176"/>
      <c r="BA78" s="176"/>
    </row>
    <row r="79" spans="1:53" ht="135" hidden="1">
      <c r="A79" s="174"/>
      <c r="B79" s="174"/>
      <c r="C79" s="174"/>
      <c r="D79" s="174"/>
      <c r="E79" s="174"/>
      <c r="F79" s="271"/>
      <c r="G79" s="271"/>
      <c r="H79" s="271"/>
      <c r="I79" s="271"/>
      <c r="J79" s="271"/>
      <c r="K79" s="271"/>
      <c r="L79" s="271"/>
      <c r="M79" s="156" t="s">
        <v>394</v>
      </c>
      <c r="N79" s="179" t="s">
        <v>877</v>
      </c>
      <c r="O79" s="175" t="s">
        <v>548</v>
      </c>
      <c r="P79" s="524">
        <v>10</v>
      </c>
      <c r="Q79" s="203" t="s">
        <v>454</v>
      </c>
      <c r="R79" s="271"/>
      <c r="S79" s="570" t="s">
        <v>878</v>
      </c>
      <c r="T79" s="568" t="s">
        <v>879</v>
      </c>
      <c r="U79" s="568" t="str">
        <f>IF(OR(C37="A7-50T",C37="A7-100T"),"0x1000e040 ","-")</f>
        <v xml:space="preserve">0x1000e040 </v>
      </c>
      <c r="V79" s="568" t="s">
        <v>880</v>
      </c>
      <c r="W79" s="571" t="str">
        <f>"0x"&amp;DEC2HEX(P49)</f>
        <v>0x2DC</v>
      </c>
      <c r="X79" s="569" t="s">
        <v>881</v>
      </c>
      <c r="Y79" s="271"/>
      <c r="Z79" s="271"/>
      <c r="AA79" s="271"/>
      <c r="AB79" s="271"/>
      <c r="AC79" s="271"/>
      <c r="AD79" s="271"/>
      <c r="AE79" s="271"/>
      <c r="AF79" s="271"/>
      <c r="AG79" s="271"/>
      <c r="AH79" s="271"/>
      <c r="AI79" s="271"/>
      <c r="AJ79" s="271"/>
      <c r="AK79" s="271"/>
      <c r="AL79" s="271"/>
      <c r="AM79" s="271"/>
      <c r="AN79" s="271"/>
      <c r="AO79" s="271"/>
      <c r="AP79" s="271"/>
      <c r="AQ79" s="271"/>
      <c r="AR79" s="271"/>
      <c r="AS79" s="271"/>
      <c r="AT79" s="176"/>
      <c r="AU79" s="176"/>
      <c r="AV79" s="176"/>
      <c r="AW79" s="176"/>
      <c r="AX79" s="176"/>
      <c r="AY79" s="176"/>
      <c r="AZ79" s="176"/>
      <c r="BA79" s="176"/>
    </row>
    <row r="80" spans="1:53" ht="54" hidden="1">
      <c r="A80" s="174"/>
      <c r="B80" s="174"/>
      <c r="C80" s="174"/>
      <c r="D80" s="174"/>
      <c r="E80" s="174"/>
      <c r="F80" s="271"/>
      <c r="G80" s="271"/>
      <c r="H80" s="271"/>
      <c r="I80" s="271"/>
      <c r="J80" s="271"/>
      <c r="K80" s="271"/>
      <c r="L80" s="271"/>
      <c r="M80" s="526" t="s">
        <v>395</v>
      </c>
      <c r="N80" s="513" t="s">
        <v>882</v>
      </c>
      <c r="O80" s="513" t="s">
        <v>883</v>
      </c>
      <c r="P80" s="527">
        <v>48</v>
      </c>
      <c r="Q80" s="540" t="s">
        <v>454</v>
      </c>
      <c r="R80" s="271"/>
      <c r="S80" s="545"/>
      <c r="T80" s="204"/>
      <c r="U80" s="204"/>
      <c r="V80" s="204"/>
      <c r="W80" s="204"/>
      <c r="X80" s="271"/>
      <c r="Y80" s="271"/>
      <c r="Z80" s="271"/>
      <c r="AA80" s="271"/>
      <c r="AB80" s="271"/>
      <c r="AC80" s="271"/>
      <c r="AD80" s="271"/>
      <c r="AE80" s="271"/>
      <c r="AF80" s="271"/>
      <c r="AG80" s="271"/>
      <c r="AH80" s="271"/>
      <c r="AI80" s="271"/>
      <c r="AJ80" s="271"/>
      <c r="AK80" s="271"/>
      <c r="AL80" s="271"/>
      <c r="AM80" s="271"/>
      <c r="AN80" s="271"/>
      <c r="AO80" s="271"/>
      <c r="AP80" s="271"/>
      <c r="AQ80" s="271"/>
      <c r="AR80" s="271"/>
      <c r="AS80" s="271"/>
      <c r="AT80" s="176"/>
      <c r="AU80" s="176"/>
      <c r="AV80" s="176"/>
      <c r="AW80" s="176"/>
      <c r="AX80" s="176"/>
      <c r="AY80" s="176"/>
      <c r="AZ80" s="176"/>
      <c r="BA80" s="176"/>
    </row>
    <row r="81" spans="1:53" ht="94.5" hidden="1">
      <c r="A81" s="271"/>
      <c r="B81" s="271"/>
      <c r="C81" s="271"/>
      <c r="D81" s="271"/>
      <c r="E81" s="271"/>
      <c r="F81" s="271"/>
      <c r="G81" s="271"/>
      <c r="H81" s="271"/>
      <c r="I81" s="271"/>
      <c r="J81" s="271"/>
      <c r="K81" s="271"/>
      <c r="L81" s="271"/>
      <c r="M81" s="225" t="s">
        <v>337</v>
      </c>
      <c r="N81" s="179" t="s">
        <v>884</v>
      </c>
      <c r="O81" s="179" t="s">
        <v>885</v>
      </c>
      <c r="P81" s="532">
        <f>D58*D59*IF(D42=8,1,2)</f>
        <v>5308416</v>
      </c>
      <c r="Q81" s="203" t="s">
        <v>454</v>
      </c>
      <c r="R81" s="271"/>
      <c r="S81" s="545"/>
      <c r="T81" s="204"/>
      <c r="U81" s="271"/>
      <c r="V81" s="204"/>
      <c r="W81" s="204"/>
      <c r="X81" s="271"/>
      <c r="Y81" s="271"/>
      <c r="Z81" s="271"/>
      <c r="AA81" s="271"/>
      <c r="AB81" s="271"/>
      <c r="AC81" s="271"/>
      <c r="AD81" s="271"/>
      <c r="AE81" s="271"/>
      <c r="AF81" s="271"/>
      <c r="AG81" s="271"/>
      <c r="AH81" s="271"/>
      <c r="AI81" s="271"/>
      <c r="AJ81" s="271"/>
      <c r="AK81" s="271"/>
      <c r="AL81" s="271"/>
      <c r="AM81" s="271"/>
      <c r="AN81" s="271"/>
      <c r="AO81" s="271"/>
      <c r="AP81" s="271"/>
      <c r="AQ81" s="271"/>
      <c r="AR81" s="271"/>
      <c r="AS81" s="271"/>
      <c r="AT81" s="176"/>
      <c r="AU81" s="176"/>
      <c r="AV81" s="176"/>
      <c r="AW81" s="176"/>
      <c r="AX81" s="176"/>
      <c r="AY81" s="176"/>
      <c r="AZ81" s="176"/>
      <c r="BA81" s="176"/>
    </row>
    <row r="82" spans="1:53" ht="54" hidden="1">
      <c r="A82" s="271"/>
      <c r="B82" s="271"/>
      <c r="C82" s="271"/>
      <c r="D82" s="271"/>
      <c r="E82" s="271"/>
      <c r="F82" s="271"/>
      <c r="G82" s="271"/>
      <c r="H82" s="271"/>
      <c r="I82" s="271"/>
      <c r="J82" s="271"/>
      <c r="K82" s="271"/>
      <c r="L82" s="271"/>
      <c r="M82" s="156" t="s">
        <v>339</v>
      </c>
      <c r="N82" s="179" t="s">
        <v>886</v>
      </c>
      <c r="O82" s="179" t="s">
        <v>887</v>
      </c>
      <c r="P82" s="560">
        <f>P81+P80*D61</f>
        <v>5308416</v>
      </c>
      <c r="Q82" s="203" t="s">
        <v>454</v>
      </c>
      <c r="R82" s="271"/>
      <c r="S82" s="545"/>
      <c r="T82" s="204"/>
      <c r="U82" s="204"/>
      <c r="V82" s="204"/>
      <c r="W82" s="204"/>
      <c r="X82" s="271"/>
      <c r="Y82" s="271"/>
      <c r="Z82" s="271"/>
      <c r="AA82" s="271"/>
      <c r="AB82" s="271"/>
      <c r="AC82" s="271"/>
      <c r="AD82" s="271"/>
      <c r="AE82" s="271"/>
      <c r="AF82" s="271"/>
      <c r="AG82" s="271"/>
      <c r="AH82" s="271"/>
      <c r="AI82" s="271"/>
      <c r="AJ82" s="271"/>
      <c r="AK82" s="271"/>
      <c r="AL82" s="271"/>
      <c r="AM82" s="271"/>
      <c r="AN82" s="271"/>
      <c r="AO82" s="271"/>
      <c r="AP82" s="271"/>
      <c r="AQ82" s="271"/>
      <c r="AR82" s="271"/>
      <c r="AS82" s="271"/>
      <c r="AT82" s="176"/>
      <c r="AU82" s="176"/>
      <c r="AV82" s="176"/>
      <c r="AW82" s="176"/>
      <c r="AX82" s="176"/>
      <c r="AY82" s="176"/>
      <c r="AZ82" s="176"/>
      <c r="BA82" s="176"/>
    </row>
    <row r="83" spans="1:53" ht="108" hidden="1">
      <c r="A83" s="271"/>
      <c r="B83" s="271"/>
      <c r="C83" s="271"/>
      <c r="D83" s="271"/>
      <c r="E83" s="271"/>
      <c r="F83" s="271"/>
      <c r="G83" s="271"/>
      <c r="H83" s="271"/>
      <c r="I83" s="271"/>
      <c r="J83" s="271"/>
      <c r="K83" s="271"/>
      <c r="L83" s="271"/>
      <c r="M83" s="156" t="s">
        <v>347</v>
      </c>
      <c r="N83" s="179" t="s">
        <v>346</v>
      </c>
      <c r="O83" s="175" t="s">
        <v>570</v>
      </c>
      <c r="P83" s="561">
        <f>INT(P82/(D64-P73))</f>
        <v>3625</v>
      </c>
      <c r="Q83" s="203"/>
      <c r="R83" s="271"/>
      <c r="S83" s="545"/>
      <c r="T83" s="204"/>
      <c r="U83" s="204"/>
      <c r="V83" s="204"/>
      <c r="W83" s="204"/>
      <c r="X83" s="271"/>
      <c r="Y83" s="271"/>
      <c r="Z83" s="271"/>
      <c r="AA83" s="271"/>
      <c r="AB83" s="271"/>
      <c r="AC83" s="271"/>
      <c r="AD83" s="271"/>
      <c r="AE83" s="271"/>
      <c r="AF83" s="271"/>
      <c r="AG83" s="271"/>
      <c r="AH83" s="271"/>
      <c r="AI83" s="271"/>
      <c r="AJ83" s="271"/>
      <c r="AK83" s="271"/>
      <c r="AL83" s="271"/>
      <c r="AM83" s="271"/>
      <c r="AN83" s="271"/>
      <c r="AO83" s="271"/>
      <c r="AP83" s="271"/>
      <c r="AQ83" s="271"/>
      <c r="AR83" s="271"/>
      <c r="AS83" s="271"/>
      <c r="AT83" s="176"/>
      <c r="AU83" s="176"/>
      <c r="AV83" s="176"/>
      <c r="AW83" s="176"/>
      <c r="AX83" s="176"/>
      <c r="AY83" s="176"/>
      <c r="AZ83" s="176"/>
      <c r="BA83" s="176"/>
    </row>
    <row r="84" spans="1:53" ht="148.5" hidden="1">
      <c r="A84" s="271"/>
      <c r="B84" s="271"/>
      <c r="C84" s="271"/>
      <c r="D84" s="271"/>
      <c r="E84" s="271"/>
      <c r="F84" s="271"/>
      <c r="G84" s="271"/>
      <c r="H84" s="271"/>
      <c r="I84" s="271"/>
      <c r="J84" s="271"/>
      <c r="K84" s="271"/>
      <c r="L84" s="271"/>
      <c r="M84" s="156" t="s">
        <v>349</v>
      </c>
      <c r="N84" s="179" t="s">
        <v>888</v>
      </c>
      <c r="O84" s="175" t="s">
        <v>577</v>
      </c>
      <c r="P84" s="561">
        <f>P82-(D64-P73)*P83</f>
        <v>1416</v>
      </c>
      <c r="Q84" s="203" t="s">
        <v>454</v>
      </c>
      <c r="R84" s="271"/>
      <c r="S84" s="545"/>
      <c r="T84" s="204"/>
      <c r="U84" s="204"/>
      <c r="V84" s="204"/>
      <c r="W84" s="204"/>
      <c r="X84" s="271"/>
      <c r="Y84" s="271"/>
      <c r="Z84" s="271"/>
      <c r="AA84" s="271"/>
      <c r="AB84" s="271"/>
      <c r="AC84" s="271"/>
      <c r="AD84" s="271"/>
      <c r="AE84" s="271"/>
      <c r="AF84" s="271"/>
      <c r="AG84" s="271"/>
      <c r="AH84" s="271"/>
      <c r="AI84" s="271"/>
      <c r="AJ84" s="271"/>
      <c r="AK84" s="271"/>
      <c r="AL84" s="271"/>
      <c r="AM84" s="271"/>
      <c r="AN84" s="271"/>
      <c r="AO84" s="271"/>
      <c r="AP84" s="271"/>
      <c r="AQ84" s="271"/>
      <c r="AR84" s="271"/>
      <c r="AS84" s="271"/>
      <c r="AT84" s="176"/>
      <c r="AU84" s="176"/>
      <c r="AV84" s="176"/>
      <c r="AW84" s="176"/>
      <c r="AX84" s="176"/>
      <c r="AY84" s="176"/>
      <c r="AZ84" s="176"/>
      <c r="BA84" s="176"/>
    </row>
    <row r="85" spans="1:53" ht="67.5" hidden="1">
      <c r="A85" s="271"/>
      <c r="B85" s="271"/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156" t="s">
        <v>348</v>
      </c>
      <c r="N85" s="179" t="s">
        <v>245</v>
      </c>
      <c r="O85" s="175" t="s">
        <v>580</v>
      </c>
      <c r="P85" s="524">
        <f>IF(MOD(P81,(D64-P73))=0,0,1)</f>
        <v>1</v>
      </c>
      <c r="Q85" s="203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P85" s="271"/>
      <c r="AQ85" s="271"/>
      <c r="AR85" s="271"/>
      <c r="AS85" s="271"/>
      <c r="AT85" s="176"/>
      <c r="AU85" s="176"/>
      <c r="AV85" s="176"/>
      <c r="AW85" s="176"/>
      <c r="AX85" s="176"/>
      <c r="AY85" s="176"/>
      <c r="AZ85" s="176"/>
      <c r="BA85" s="176"/>
    </row>
    <row r="86" spans="1:53" ht="175.5" hidden="1">
      <c r="A86" s="271"/>
      <c r="B86" s="271"/>
      <c r="C86" s="271"/>
      <c r="D86" s="271"/>
      <c r="E86" s="271"/>
      <c r="F86" s="271"/>
      <c r="G86" s="271"/>
      <c r="H86" s="271"/>
      <c r="I86" s="271"/>
      <c r="J86" s="271"/>
      <c r="K86" s="271"/>
      <c r="L86" s="271"/>
      <c r="M86" s="156" t="s">
        <v>351</v>
      </c>
      <c r="N86" s="179" t="s">
        <v>889</v>
      </c>
      <c r="O86" s="175" t="s">
        <v>584</v>
      </c>
      <c r="P86" s="561">
        <f>IF(P84&lt;P75,P75,P84)</f>
        <v>1416</v>
      </c>
      <c r="Q86" s="203" t="s">
        <v>454</v>
      </c>
      <c r="R86" s="271"/>
      <c r="S86" s="271"/>
      <c r="T86" s="271"/>
      <c r="U86" s="271"/>
      <c r="V86" s="271"/>
      <c r="W86" s="271"/>
      <c r="X86" s="271"/>
      <c r="Y86" s="271"/>
      <c r="Z86" s="271"/>
      <c r="AA86" s="271"/>
      <c r="AB86" s="271"/>
      <c r="AC86" s="271"/>
      <c r="AD86" s="271"/>
      <c r="AE86" s="271"/>
      <c r="AF86" s="271"/>
      <c r="AG86" s="271"/>
      <c r="AH86" s="271"/>
      <c r="AI86" s="271"/>
      <c r="AJ86" s="271"/>
      <c r="AK86" s="271"/>
      <c r="AL86" s="271"/>
      <c r="AM86" s="271"/>
      <c r="AN86" s="271"/>
      <c r="AO86" s="271"/>
      <c r="AP86" s="271"/>
      <c r="AQ86" s="271"/>
      <c r="AR86" s="271"/>
      <c r="AS86" s="271"/>
      <c r="AT86" s="176"/>
      <c r="AU86" s="176"/>
      <c r="AV86" s="176"/>
      <c r="AW86" s="176"/>
      <c r="AX86" s="176"/>
      <c r="AY86" s="176"/>
      <c r="AZ86" s="176"/>
      <c r="BA86" s="176"/>
    </row>
    <row r="87" spans="1:53" ht="81" hidden="1">
      <c r="A87" s="271"/>
      <c r="B87" s="271"/>
      <c r="C87" s="271"/>
      <c r="D87" s="271"/>
      <c r="E87" s="271"/>
      <c r="F87" s="271"/>
      <c r="G87" s="271"/>
      <c r="H87" s="271"/>
      <c r="I87" s="271"/>
      <c r="J87" s="271"/>
      <c r="K87" s="271"/>
      <c r="L87" s="271"/>
      <c r="M87" s="156" t="s">
        <v>353</v>
      </c>
      <c r="N87" s="179" t="s">
        <v>890</v>
      </c>
      <c r="O87" s="175" t="s">
        <v>586</v>
      </c>
      <c r="P87" s="561">
        <f>P74+P73+P78</f>
        <v>98</v>
      </c>
      <c r="Q87" s="203" t="s">
        <v>454</v>
      </c>
      <c r="R87" s="271"/>
      <c r="S87" s="271"/>
      <c r="T87" s="271"/>
      <c r="U87" s="271"/>
      <c r="V87" s="271"/>
      <c r="W87" s="271"/>
      <c r="X87" s="271"/>
      <c r="Y87" s="271"/>
      <c r="Z87" s="271"/>
      <c r="AA87" s="271"/>
      <c r="AB87" s="271"/>
      <c r="AC87" s="271"/>
      <c r="AD87" s="271"/>
      <c r="AE87" s="271"/>
      <c r="AF87" s="271"/>
      <c r="AG87" s="271"/>
      <c r="AH87" s="271"/>
      <c r="AI87" s="271"/>
      <c r="AJ87" s="271"/>
      <c r="AK87" s="271"/>
      <c r="AL87" s="271"/>
      <c r="AM87" s="271"/>
      <c r="AN87" s="271"/>
      <c r="AO87" s="271"/>
      <c r="AP87" s="271"/>
      <c r="AQ87" s="271"/>
      <c r="AR87" s="271"/>
      <c r="AS87" s="271"/>
      <c r="AT87" s="176"/>
      <c r="AU87" s="176"/>
      <c r="AV87" s="176"/>
      <c r="AW87" s="176"/>
      <c r="AX87" s="176"/>
      <c r="AY87" s="176"/>
      <c r="AZ87" s="176"/>
      <c r="BA87" s="176"/>
    </row>
    <row r="88" spans="1:53" ht="94.5" hidden="1">
      <c r="A88" s="271"/>
      <c r="B88" s="271"/>
      <c r="C88" s="271"/>
      <c r="D88" s="271"/>
      <c r="E88" s="271"/>
      <c r="F88" s="271"/>
      <c r="G88" s="271"/>
      <c r="H88" s="271"/>
      <c r="I88" s="271"/>
      <c r="J88" s="271"/>
      <c r="K88" s="271"/>
      <c r="L88" s="271"/>
      <c r="M88" s="156" t="s">
        <v>355</v>
      </c>
      <c r="N88" s="179" t="s">
        <v>891</v>
      </c>
      <c r="O88" s="175" t="s">
        <v>892</v>
      </c>
      <c r="P88" s="561">
        <f>P74+P73+P79</f>
        <v>72</v>
      </c>
      <c r="Q88" s="203" t="s">
        <v>454</v>
      </c>
      <c r="R88" s="271"/>
      <c r="S88" s="271"/>
      <c r="T88" s="271"/>
      <c r="U88" s="271"/>
      <c r="V88" s="271"/>
      <c r="W88" s="271"/>
      <c r="X88" s="271"/>
      <c r="Y88" s="271"/>
      <c r="Z88" s="271"/>
      <c r="AA88" s="271"/>
      <c r="AB88" s="271"/>
      <c r="AC88" s="271"/>
      <c r="AD88" s="271"/>
      <c r="AE88" s="271"/>
      <c r="AF88" s="271"/>
      <c r="AG88" s="271"/>
      <c r="AH88" s="271"/>
      <c r="AI88" s="271"/>
      <c r="AJ88" s="271"/>
      <c r="AK88" s="271"/>
      <c r="AL88" s="271"/>
      <c r="AM88" s="271"/>
      <c r="AN88" s="271"/>
      <c r="AO88" s="271"/>
      <c r="AP88" s="271"/>
      <c r="AQ88" s="271"/>
      <c r="AR88" s="271"/>
      <c r="AS88" s="271"/>
      <c r="AT88" s="176"/>
      <c r="AU88" s="176"/>
      <c r="AV88" s="176"/>
      <c r="AW88" s="176"/>
      <c r="AX88" s="176"/>
      <c r="AY88" s="176"/>
      <c r="AZ88" s="176"/>
      <c r="BA88" s="176"/>
    </row>
    <row r="89" spans="1:53" ht="243" hidden="1">
      <c r="A89" s="271"/>
      <c r="B89" s="271"/>
      <c r="C89" s="271"/>
      <c r="D89" s="271"/>
      <c r="E89" s="271"/>
      <c r="F89" s="271"/>
      <c r="G89" s="271"/>
      <c r="H89" s="271"/>
      <c r="I89" s="271"/>
      <c r="J89" s="271"/>
      <c r="K89" s="271"/>
      <c r="L89" s="271"/>
      <c r="M89" s="156" t="s">
        <v>357</v>
      </c>
      <c r="N89" s="179" t="s">
        <v>246</v>
      </c>
      <c r="O89" s="175" t="s">
        <v>893</v>
      </c>
      <c r="P89" s="561">
        <f>P83*(D64+P74)+P85*(P86+P74+P73)</f>
        <v>5533228</v>
      </c>
      <c r="Q89" s="203" t="s">
        <v>454</v>
      </c>
      <c r="R89" s="271"/>
      <c r="S89" s="271"/>
      <c r="T89" s="271"/>
      <c r="U89" s="271"/>
      <c r="V89" s="271"/>
      <c r="W89" s="271"/>
      <c r="X89" s="271"/>
      <c r="Y89" s="271"/>
      <c r="Z89" s="271"/>
      <c r="AA89" s="271"/>
      <c r="AB89" s="271"/>
      <c r="AC89" s="271"/>
      <c r="AD89" s="271"/>
      <c r="AE89" s="271"/>
      <c r="AF89" s="271"/>
      <c r="AG89" s="271"/>
      <c r="AH89" s="271"/>
      <c r="AI89" s="271"/>
      <c r="AJ89" s="271"/>
      <c r="AK89" s="271"/>
      <c r="AL89" s="271"/>
      <c r="AM89" s="271"/>
      <c r="AN89" s="271"/>
      <c r="AO89" s="271"/>
      <c r="AP89" s="271"/>
      <c r="AQ89" s="271"/>
      <c r="AR89" s="271"/>
      <c r="AS89" s="271"/>
      <c r="AT89" s="176"/>
      <c r="AU89" s="176"/>
      <c r="AV89" s="176"/>
      <c r="AW89" s="176"/>
      <c r="AX89" s="176"/>
      <c r="AY89" s="176"/>
      <c r="AZ89" s="176"/>
      <c r="BA89" s="176"/>
    </row>
    <row r="90" spans="1:53" ht="162" hidden="1">
      <c r="A90" s="271"/>
      <c r="B90" s="271"/>
      <c r="C90" s="271"/>
      <c r="D90" s="271"/>
      <c r="E90" s="271"/>
      <c r="F90" s="271"/>
      <c r="G90" s="271"/>
      <c r="H90" s="271"/>
      <c r="I90" s="271"/>
      <c r="J90" s="271"/>
      <c r="K90" s="271"/>
      <c r="L90" s="271"/>
      <c r="M90" s="225" t="s">
        <v>358</v>
      </c>
      <c r="N90" s="179" t="s">
        <v>894</v>
      </c>
      <c r="O90" s="179" t="s">
        <v>895</v>
      </c>
      <c r="P90" s="562">
        <f>(2+P85+P83)*(P72+D65)</f>
        <v>43536</v>
      </c>
      <c r="Q90" s="232" t="s">
        <v>454</v>
      </c>
      <c r="R90" s="271"/>
      <c r="S90" s="271"/>
      <c r="T90" s="271"/>
      <c r="U90" s="271"/>
      <c r="V90" s="271"/>
      <c r="W90" s="271"/>
      <c r="X90" s="271"/>
      <c r="Y90" s="271"/>
      <c r="Z90" s="271"/>
      <c r="AA90" s="271"/>
      <c r="AB90" s="271"/>
      <c r="AC90" s="271"/>
      <c r="AD90" s="271"/>
      <c r="AE90" s="271"/>
      <c r="AF90" s="271"/>
      <c r="AG90" s="271"/>
      <c r="AH90" s="271"/>
      <c r="AI90" s="271"/>
      <c r="AJ90" s="271"/>
      <c r="AK90" s="271"/>
      <c r="AL90" s="271"/>
      <c r="AM90" s="271"/>
      <c r="AN90" s="271"/>
      <c r="AO90" s="271"/>
      <c r="AP90" s="271"/>
      <c r="AQ90" s="271"/>
      <c r="AR90" s="271"/>
      <c r="AS90" s="271"/>
      <c r="AT90" s="176"/>
      <c r="AU90" s="176"/>
      <c r="AV90" s="176"/>
      <c r="AW90" s="176"/>
      <c r="AX90" s="176"/>
      <c r="AY90" s="176"/>
      <c r="AZ90" s="176"/>
      <c r="BA90" s="176"/>
    </row>
    <row r="91" spans="1:53" ht="121.5" hidden="1">
      <c r="A91" s="271"/>
      <c r="B91" s="271"/>
      <c r="C91" s="271"/>
      <c r="D91" s="271"/>
      <c r="E91" s="271"/>
      <c r="F91" s="271"/>
      <c r="G91" s="271"/>
      <c r="H91" s="271"/>
      <c r="I91" s="271"/>
      <c r="J91" s="271"/>
      <c r="K91" s="271"/>
      <c r="L91" s="271"/>
      <c r="M91" s="225" t="s">
        <v>359</v>
      </c>
      <c r="N91" s="179" t="s">
        <v>896</v>
      </c>
      <c r="O91" s="179" t="s">
        <v>607</v>
      </c>
      <c r="P91" s="532">
        <f>P87+P88+P89+P90</f>
        <v>5576934</v>
      </c>
      <c r="Q91" s="232" t="s">
        <v>454</v>
      </c>
      <c r="R91" s="271"/>
      <c r="S91" s="271"/>
      <c r="T91" s="271"/>
      <c r="U91" s="271"/>
      <c r="V91" s="271"/>
      <c r="W91" s="271"/>
      <c r="X91" s="271"/>
      <c r="Y91" s="271"/>
      <c r="Z91" s="271"/>
      <c r="AA91" s="271"/>
      <c r="AB91" s="271"/>
      <c r="AC91" s="271"/>
      <c r="AD91" s="271"/>
      <c r="AE91" s="271"/>
      <c r="AF91" s="271"/>
      <c r="AG91" s="271"/>
      <c r="AH91" s="271"/>
      <c r="AI91" s="271"/>
      <c r="AJ91" s="271"/>
      <c r="AK91" s="271"/>
      <c r="AL91" s="271"/>
      <c r="AM91" s="271"/>
      <c r="AN91" s="271"/>
      <c r="AO91" s="271"/>
      <c r="AP91" s="271"/>
      <c r="AQ91" s="271"/>
      <c r="AR91" s="271"/>
      <c r="AS91" s="271"/>
      <c r="AT91" s="176"/>
      <c r="AU91" s="176"/>
      <c r="AV91" s="176"/>
      <c r="AW91" s="176"/>
      <c r="AX91" s="176"/>
      <c r="AY91" s="176"/>
      <c r="AZ91" s="176"/>
      <c r="BA91" s="176"/>
    </row>
    <row r="92" spans="1:53" ht="94.5" hidden="1">
      <c r="A92" s="271"/>
      <c r="B92" s="271"/>
      <c r="C92" s="271"/>
      <c r="D92" s="271"/>
      <c r="E92" s="271"/>
      <c r="F92" s="271"/>
      <c r="G92" s="271"/>
      <c r="H92" s="271"/>
      <c r="I92" s="271"/>
      <c r="J92" s="271"/>
      <c r="K92" s="271"/>
      <c r="L92" s="271"/>
      <c r="M92" s="225" t="s">
        <v>361</v>
      </c>
      <c r="N92" s="179" t="s">
        <v>360</v>
      </c>
      <c r="O92" s="179" t="s">
        <v>897</v>
      </c>
      <c r="P92" s="525">
        <f>INT(1000000*D63*(100-D66)/80)</f>
        <v>1125000000</v>
      </c>
      <c r="Q92" s="232" t="s">
        <v>898</v>
      </c>
      <c r="R92" s="751" t="s">
        <v>899</v>
      </c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1"/>
      <c r="AH92" s="271"/>
      <c r="AI92" s="271"/>
      <c r="AJ92" s="271"/>
      <c r="AK92" s="271"/>
      <c r="AL92" s="271"/>
      <c r="AM92" s="271"/>
      <c r="AN92" s="271"/>
      <c r="AO92" s="271"/>
      <c r="AP92" s="271"/>
      <c r="AQ92" s="271"/>
      <c r="AR92" s="271"/>
      <c r="AS92" s="271"/>
      <c r="AT92" s="176"/>
      <c r="AU92" s="176"/>
      <c r="AV92" s="176"/>
      <c r="AW92" s="176"/>
      <c r="AX92" s="176"/>
      <c r="AY92" s="176"/>
      <c r="AZ92" s="176"/>
      <c r="BA92" s="176"/>
    </row>
    <row r="93" spans="1:53" ht="243" hidden="1">
      <c r="A93" s="271"/>
      <c r="B93" s="271"/>
      <c r="C93" s="271"/>
      <c r="D93" s="271"/>
      <c r="E93" s="271"/>
      <c r="F93" s="271"/>
      <c r="G93" s="271"/>
      <c r="H93" s="271"/>
      <c r="I93" s="271"/>
      <c r="J93" s="271"/>
      <c r="K93" s="271"/>
      <c r="L93" s="271"/>
      <c r="M93" s="226" t="s">
        <v>363</v>
      </c>
      <c r="N93" s="533" t="s">
        <v>362</v>
      </c>
      <c r="O93" s="533" t="s">
        <v>900</v>
      </c>
      <c r="P93" s="534">
        <f>IF(D46="Ultra Short",ROUNDUP(P91*1000000/P92,0)*10,ROUNDUP(ROUNDUP(P91*1000000000/P92,0)*10/J41,0))</f>
        <v>4335</v>
      </c>
      <c r="Q93" s="233" t="str">
        <f>IF(D46="Ultra Short","us","line")</f>
        <v>line</v>
      </c>
      <c r="R93" s="751"/>
      <c r="S93" s="271"/>
      <c r="T93" s="271"/>
      <c r="U93" s="271"/>
      <c r="V93" s="271"/>
      <c r="W93" s="271"/>
      <c r="X93" s="271"/>
      <c r="Y93" s="271"/>
      <c r="Z93" s="271"/>
      <c r="AA93" s="271"/>
      <c r="AB93" s="271"/>
      <c r="AC93" s="271"/>
      <c r="AD93" s="271"/>
      <c r="AE93" s="271"/>
      <c r="AF93" s="271"/>
      <c r="AG93" s="271"/>
      <c r="AH93" s="271"/>
      <c r="AI93" s="271"/>
      <c r="AJ93" s="271"/>
      <c r="AK93" s="271"/>
      <c r="AL93" s="271"/>
      <c r="AM93" s="271"/>
      <c r="AN93" s="271"/>
      <c r="AO93" s="271"/>
      <c r="AP93" s="271"/>
      <c r="AQ93" s="271"/>
      <c r="AR93" s="271"/>
      <c r="AS93" s="271"/>
      <c r="AT93" s="176"/>
      <c r="AU93" s="176"/>
      <c r="AV93" s="176"/>
      <c r="AW93" s="176"/>
      <c r="AX93" s="176"/>
      <c r="AY93" s="176"/>
      <c r="AZ93" s="176"/>
      <c r="BA93" s="176"/>
    </row>
    <row r="94" spans="1:53" ht="121.5" hidden="1">
      <c r="A94" s="271"/>
      <c r="B94" s="271"/>
      <c r="C94" s="271"/>
      <c r="D94" s="271"/>
      <c r="E94" s="271"/>
      <c r="F94" s="271"/>
      <c r="G94" s="271"/>
      <c r="H94" s="271"/>
      <c r="I94" s="271"/>
      <c r="J94" s="271"/>
      <c r="K94" s="271"/>
      <c r="L94" s="271"/>
      <c r="M94" s="225" t="s">
        <v>901</v>
      </c>
      <c r="N94" s="179" t="s">
        <v>902</v>
      </c>
      <c r="O94" s="179" t="s">
        <v>903</v>
      </c>
      <c r="P94" s="525">
        <f>INT(1000000*D63*(100)/80)</f>
        <v>1250000000</v>
      </c>
      <c r="Q94" s="232" t="s">
        <v>898</v>
      </c>
      <c r="R94" s="271"/>
      <c r="S94" s="271"/>
      <c r="T94" s="271"/>
      <c r="U94" s="271"/>
      <c r="V94" s="271"/>
      <c r="W94" s="271"/>
      <c r="X94" s="271"/>
      <c r="Y94" s="271"/>
      <c r="Z94" s="271"/>
      <c r="AA94" s="271"/>
      <c r="AB94" s="271"/>
      <c r="AC94" s="271"/>
      <c r="AD94" s="271"/>
      <c r="AE94" s="271"/>
      <c r="AF94" s="271"/>
      <c r="AG94" s="271"/>
      <c r="AH94" s="271"/>
      <c r="AI94" s="271"/>
      <c r="AJ94" s="271"/>
      <c r="AK94" s="271"/>
      <c r="AL94" s="271"/>
      <c r="AM94" s="271"/>
      <c r="AN94" s="271"/>
      <c r="AO94" s="271"/>
      <c r="AP94" s="271"/>
      <c r="AQ94" s="271"/>
      <c r="AR94" s="271"/>
      <c r="AS94" s="271"/>
      <c r="AT94" s="176"/>
      <c r="AU94" s="176"/>
      <c r="AV94" s="176"/>
      <c r="AW94" s="176"/>
      <c r="AX94" s="176"/>
      <c r="AY94" s="176"/>
      <c r="AZ94" s="176"/>
      <c r="BA94" s="176"/>
    </row>
    <row r="95" spans="1:53" ht="243" hidden="1">
      <c r="A95" s="271"/>
      <c r="B95" s="271"/>
      <c r="C95" s="271"/>
      <c r="D95" s="271"/>
      <c r="E95" s="271"/>
      <c r="F95" s="271"/>
      <c r="G95" s="271"/>
      <c r="H95" s="271"/>
      <c r="I95" s="271"/>
      <c r="J95" s="271"/>
      <c r="K95" s="271"/>
      <c r="L95" s="271"/>
      <c r="M95" s="226" t="s">
        <v>904</v>
      </c>
      <c r="N95" s="533" t="s">
        <v>905</v>
      </c>
      <c r="O95" s="533" t="s">
        <v>900</v>
      </c>
      <c r="P95" s="534">
        <f>IF(D46="Ultra Short",ROUNDUP(P91*1000000/P94,0)*10,ROUNDUP(ROUNDUP(P91*1000000000/P94,0)*10/J41,0))</f>
        <v>3901</v>
      </c>
      <c r="Q95" s="233" t="str">
        <f>IF(D48="Ultra Short","us","line")</f>
        <v>line</v>
      </c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71"/>
      <c r="AH95" s="271"/>
      <c r="AI95" s="271"/>
      <c r="AJ95" s="271"/>
      <c r="AK95" s="271"/>
      <c r="AL95" s="271"/>
      <c r="AM95" s="271"/>
      <c r="AN95" s="271"/>
      <c r="AO95" s="271"/>
      <c r="AP95" s="271"/>
      <c r="AQ95" s="271"/>
      <c r="AR95" s="271"/>
      <c r="AS95" s="271"/>
      <c r="AT95" s="176"/>
      <c r="AU95" s="176"/>
      <c r="AV95" s="176"/>
      <c r="AW95" s="176"/>
      <c r="AX95" s="176"/>
      <c r="AY95" s="176"/>
      <c r="AZ95" s="176"/>
      <c r="BA95" s="176"/>
    </row>
    <row r="96" spans="1:53" hidden="1">
      <c r="A96" s="271"/>
      <c r="B96" s="271"/>
      <c r="C96" s="271"/>
      <c r="D96" s="271"/>
      <c r="E96" s="271"/>
      <c r="F96" s="271"/>
      <c r="G96" s="271"/>
      <c r="H96" s="271"/>
      <c r="I96" s="271"/>
      <c r="J96" s="271"/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71"/>
      <c r="AH96" s="271"/>
      <c r="AI96" s="271"/>
      <c r="AJ96" s="271"/>
      <c r="AK96" s="271"/>
      <c r="AL96" s="271"/>
      <c r="AM96" s="271"/>
      <c r="AN96" s="271"/>
      <c r="AO96" s="271"/>
      <c r="AP96" s="271"/>
      <c r="AQ96" s="271"/>
      <c r="AR96" s="271"/>
      <c r="AS96" s="271"/>
      <c r="AT96" s="176"/>
      <c r="AU96" s="176"/>
      <c r="AV96" s="176"/>
      <c r="AW96" s="176"/>
      <c r="AX96" s="176"/>
      <c r="AY96" s="176"/>
      <c r="AZ96" s="176"/>
      <c r="BA96" s="176"/>
    </row>
    <row r="97" spans="1:53" hidden="1">
      <c r="A97" s="271"/>
      <c r="B97" s="271"/>
      <c r="C97" s="271"/>
      <c r="D97" s="271"/>
      <c r="E97" s="271"/>
      <c r="F97" s="271"/>
      <c r="G97" s="271"/>
      <c r="H97" s="271"/>
      <c r="I97" s="271"/>
      <c r="J97" s="271"/>
      <c r="K97" s="271"/>
      <c r="L97" s="271"/>
      <c r="M97" s="174"/>
      <c r="N97" s="174"/>
      <c r="O97" s="174"/>
      <c r="P97" s="174"/>
      <c r="Q97" s="174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71"/>
      <c r="AH97" s="271"/>
      <c r="AI97" s="271"/>
      <c r="AJ97" s="271"/>
      <c r="AK97" s="271"/>
      <c r="AL97" s="271"/>
      <c r="AM97" s="271"/>
      <c r="AN97" s="271"/>
      <c r="AO97" s="271"/>
      <c r="AP97" s="271"/>
      <c r="AQ97" s="271"/>
      <c r="AR97" s="271"/>
      <c r="AS97" s="271"/>
      <c r="AT97" s="176"/>
      <c r="AU97" s="176"/>
      <c r="AV97" s="176"/>
      <c r="AW97" s="176"/>
      <c r="AX97" s="176"/>
      <c r="AY97" s="176"/>
      <c r="AZ97" s="176"/>
      <c r="BA97" s="176"/>
    </row>
    <row r="98" spans="1:53" hidden="1">
      <c r="A98" s="271"/>
      <c r="B98" s="271"/>
      <c r="C98" s="271"/>
      <c r="D98" s="271"/>
      <c r="E98" s="271"/>
      <c r="F98" s="271"/>
      <c r="G98" s="271"/>
      <c r="H98" s="271"/>
      <c r="I98" s="271"/>
      <c r="J98" s="271"/>
      <c r="K98" s="271"/>
      <c r="L98" s="271"/>
      <c r="M98" s="174"/>
      <c r="N98" s="174"/>
      <c r="O98" s="174"/>
      <c r="P98" s="174"/>
      <c r="Q98" s="174"/>
      <c r="R98" s="271"/>
      <c r="S98" s="271"/>
      <c r="T98" s="271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F98" s="271"/>
      <c r="AG98" s="271"/>
      <c r="AH98" s="271"/>
      <c r="AI98" s="271"/>
      <c r="AJ98" s="271"/>
      <c r="AK98" s="271"/>
      <c r="AL98" s="271"/>
      <c r="AM98" s="271"/>
      <c r="AN98" s="271"/>
      <c r="AO98" s="271"/>
      <c r="AP98" s="271"/>
      <c r="AQ98" s="271"/>
      <c r="AR98" s="271"/>
      <c r="AS98" s="271"/>
      <c r="AT98" s="176"/>
      <c r="AU98" s="176"/>
      <c r="AV98" s="176"/>
      <c r="AW98" s="176"/>
      <c r="AX98" s="176"/>
      <c r="AY98" s="176"/>
      <c r="AZ98" s="176"/>
      <c r="BA98" s="176"/>
    </row>
    <row r="99" spans="1:53" hidden="1">
      <c r="A99" s="271"/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  <c r="M99" s="174"/>
      <c r="N99" s="174"/>
      <c r="O99" s="174"/>
      <c r="P99" s="174"/>
      <c r="Q99" s="174"/>
      <c r="R99" s="271"/>
      <c r="S99" s="271"/>
      <c r="T99" s="271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F99" s="271"/>
      <c r="AG99" s="271"/>
      <c r="AH99" s="271"/>
      <c r="AI99" s="271"/>
      <c r="AJ99" s="271"/>
      <c r="AK99" s="271"/>
      <c r="AL99" s="271"/>
      <c r="AM99" s="271"/>
      <c r="AN99" s="271"/>
      <c r="AO99" s="271"/>
      <c r="AP99" s="271"/>
      <c r="AQ99" s="271"/>
      <c r="AR99" s="271"/>
      <c r="AS99" s="271"/>
      <c r="AT99" s="176"/>
      <c r="AU99" s="176"/>
      <c r="AV99" s="176"/>
      <c r="AW99" s="176"/>
      <c r="AX99" s="176"/>
      <c r="AY99" s="176"/>
      <c r="AZ99" s="176"/>
      <c r="BA99" s="176"/>
    </row>
    <row r="100" spans="1:53" hidden="1">
      <c r="A100" s="271"/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174"/>
      <c r="N100" s="174"/>
      <c r="O100" s="174"/>
      <c r="P100" s="174"/>
      <c r="Q100" s="174"/>
      <c r="R100" s="271"/>
      <c r="S100" s="271"/>
      <c r="T100" s="271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F100" s="271"/>
      <c r="AG100" s="271"/>
      <c r="AH100" s="271"/>
      <c r="AI100" s="271"/>
      <c r="AJ100" s="271"/>
      <c r="AK100" s="271"/>
      <c r="AL100" s="271"/>
      <c r="AM100" s="271"/>
      <c r="AN100" s="271"/>
      <c r="AO100" s="271"/>
      <c r="AP100" s="271"/>
      <c r="AQ100" s="271"/>
      <c r="AR100" s="271"/>
      <c r="AS100" s="271"/>
      <c r="AT100" s="176"/>
      <c r="AU100" s="176"/>
      <c r="AV100" s="176"/>
      <c r="AW100" s="176"/>
      <c r="AX100" s="176"/>
      <c r="AY100" s="176"/>
      <c r="AZ100" s="176"/>
      <c r="BA100" s="176"/>
    </row>
    <row r="101" spans="1:53" hidden="1">
      <c r="A101" s="271"/>
      <c r="B101" s="271"/>
      <c r="C101" s="271"/>
      <c r="D101" s="271"/>
      <c r="E101" s="271"/>
      <c r="F101" s="271"/>
      <c r="G101" s="271"/>
      <c r="H101" s="271"/>
      <c r="I101" s="271"/>
      <c r="J101" s="271"/>
      <c r="K101" s="271"/>
      <c r="L101" s="271"/>
      <c r="M101" s="174"/>
      <c r="N101" s="174"/>
      <c r="O101" s="174"/>
      <c r="P101" s="174"/>
      <c r="Q101" s="174"/>
      <c r="R101" s="271"/>
      <c r="S101" s="271"/>
      <c r="T101" s="271"/>
      <c r="U101" s="271"/>
      <c r="V101" s="271"/>
      <c r="W101" s="271"/>
      <c r="X101" s="271"/>
      <c r="Y101" s="271"/>
      <c r="Z101" s="271"/>
      <c r="AA101" s="271"/>
      <c r="AB101" s="271"/>
      <c r="AC101" s="271"/>
      <c r="AD101" s="271"/>
      <c r="AE101" s="271"/>
      <c r="AF101" s="271"/>
      <c r="AG101" s="271"/>
      <c r="AH101" s="271"/>
      <c r="AI101" s="271"/>
      <c r="AJ101" s="271"/>
      <c r="AK101" s="271"/>
      <c r="AL101" s="271"/>
      <c r="AM101" s="271"/>
      <c r="AN101" s="271"/>
      <c r="AO101" s="271"/>
      <c r="AP101" s="271"/>
      <c r="AQ101" s="271"/>
      <c r="AR101" s="271"/>
      <c r="AS101" s="271"/>
      <c r="AT101" s="176"/>
      <c r="AU101" s="176"/>
      <c r="AV101" s="176"/>
      <c r="AW101" s="176"/>
      <c r="AX101" s="176"/>
      <c r="AY101" s="176"/>
      <c r="AZ101" s="176"/>
      <c r="BA101" s="176"/>
    </row>
    <row r="102" spans="1:53" hidden="1">
      <c r="A102" s="271"/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  <c r="M102" s="174"/>
      <c r="N102" s="174"/>
      <c r="O102" s="174"/>
      <c r="P102" s="174"/>
      <c r="Q102" s="174"/>
      <c r="R102" s="271"/>
      <c r="S102" s="271"/>
      <c r="T102" s="271"/>
      <c r="U102" s="271"/>
      <c r="V102" s="271"/>
      <c r="W102" s="271"/>
      <c r="X102" s="271"/>
      <c r="Y102" s="271"/>
      <c r="Z102" s="271"/>
      <c r="AA102" s="271"/>
      <c r="AB102" s="271"/>
      <c r="AC102" s="271"/>
      <c r="AD102" s="271"/>
      <c r="AE102" s="271"/>
      <c r="AF102" s="271"/>
      <c r="AG102" s="271"/>
      <c r="AH102" s="271"/>
      <c r="AI102" s="271"/>
      <c r="AJ102" s="271"/>
      <c r="AK102" s="271"/>
      <c r="AL102" s="271"/>
      <c r="AM102" s="271"/>
      <c r="AN102" s="271"/>
      <c r="AO102" s="271"/>
      <c r="AP102" s="271"/>
      <c r="AQ102" s="271"/>
      <c r="AR102" s="271"/>
      <c r="AS102" s="271"/>
      <c r="AT102" s="176"/>
      <c r="AU102" s="176"/>
      <c r="AV102" s="176"/>
      <c r="AW102" s="176"/>
      <c r="AX102" s="176"/>
      <c r="AY102" s="176"/>
      <c r="AZ102" s="176"/>
      <c r="BA102" s="176"/>
    </row>
    <row r="103" spans="1:53" hidden="1">
      <c r="A103" s="271"/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  <c r="M103" s="174"/>
      <c r="N103" s="174"/>
      <c r="O103" s="174"/>
      <c r="P103" s="174"/>
      <c r="Q103" s="174"/>
      <c r="R103" s="271"/>
      <c r="S103" s="271"/>
      <c r="T103" s="271"/>
      <c r="U103" s="271"/>
      <c r="V103" s="271"/>
      <c r="W103" s="271"/>
      <c r="X103" s="271"/>
      <c r="Y103" s="271"/>
      <c r="Z103" s="271"/>
      <c r="AA103" s="271"/>
      <c r="AB103" s="271"/>
      <c r="AC103" s="271"/>
      <c r="AD103" s="271"/>
      <c r="AE103" s="271"/>
      <c r="AF103" s="271"/>
      <c r="AG103" s="271"/>
      <c r="AH103" s="271"/>
      <c r="AI103" s="271"/>
      <c r="AJ103" s="271"/>
      <c r="AK103" s="271"/>
      <c r="AL103" s="271"/>
      <c r="AM103" s="271"/>
      <c r="AN103" s="271"/>
      <c r="AO103" s="271"/>
      <c r="AP103" s="271"/>
      <c r="AQ103" s="271"/>
      <c r="AR103" s="271"/>
      <c r="AS103" s="271"/>
      <c r="AT103" s="176"/>
      <c r="AU103" s="176"/>
      <c r="AV103" s="176"/>
      <c r="AW103" s="176"/>
      <c r="AX103" s="176"/>
      <c r="AY103" s="176"/>
      <c r="AZ103" s="176"/>
      <c r="BA103" s="176"/>
    </row>
    <row r="104" spans="1:53" hidden="1">
      <c r="A104" s="271"/>
      <c r="B104" s="271"/>
      <c r="C104" s="271"/>
      <c r="D104" s="271"/>
      <c r="E104" s="271"/>
      <c r="F104" s="271"/>
      <c r="G104" s="271"/>
      <c r="H104" s="271"/>
      <c r="I104" s="271"/>
      <c r="J104" s="271"/>
      <c r="K104" s="271"/>
      <c r="L104" s="271"/>
      <c r="M104" s="174"/>
      <c r="N104" s="174"/>
      <c r="O104" s="174"/>
      <c r="P104" s="174"/>
      <c r="Q104" s="174"/>
      <c r="R104" s="271"/>
      <c r="S104" s="271"/>
      <c r="T104" s="271"/>
      <c r="U104" s="271"/>
      <c r="V104" s="271"/>
      <c r="W104" s="271"/>
      <c r="X104" s="271"/>
      <c r="Y104" s="271"/>
      <c r="Z104" s="271"/>
      <c r="AA104" s="271"/>
      <c r="AB104" s="271"/>
      <c r="AC104" s="271"/>
      <c r="AD104" s="271"/>
      <c r="AE104" s="271"/>
      <c r="AF104" s="271"/>
      <c r="AG104" s="271"/>
      <c r="AH104" s="271"/>
      <c r="AI104" s="271"/>
      <c r="AJ104" s="271"/>
      <c r="AK104" s="271"/>
      <c r="AL104" s="271"/>
      <c r="AM104" s="271"/>
      <c r="AN104" s="271"/>
      <c r="AO104" s="271"/>
      <c r="AP104" s="271"/>
      <c r="AQ104" s="271"/>
      <c r="AR104" s="271"/>
      <c r="AS104" s="271"/>
      <c r="AT104" s="176"/>
      <c r="AU104" s="176"/>
      <c r="AV104" s="176"/>
      <c r="AW104" s="176"/>
      <c r="AX104" s="176"/>
      <c r="AY104" s="176"/>
      <c r="AZ104" s="176"/>
      <c r="BA104" s="176"/>
    </row>
    <row r="105" spans="1:53" hidden="1">
      <c r="A105" s="271"/>
      <c r="B105" s="271"/>
      <c r="C105" s="271"/>
      <c r="D105" s="271"/>
      <c r="E105" s="271"/>
      <c r="F105" s="271"/>
      <c r="G105" s="271"/>
      <c r="H105" s="271"/>
      <c r="I105" s="271"/>
      <c r="J105" s="271"/>
      <c r="K105" s="271"/>
      <c r="L105" s="271"/>
      <c r="M105" s="174"/>
      <c r="N105" s="174"/>
      <c r="O105" s="174"/>
      <c r="P105" s="174"/>
      <c r="Q105" s="174"/>
      <c r="R105" s="271"/>
      <c r="S105" s="271"/>
      <c r="T105" s="271"/>
      <c r="U105" s="271"/>
      <c r="V105" s="271"/>
      <c r="W105" s="271"/>
      <c r="X105" s="271"/>
      <c r="Y105" s="271"/>
      <c r="Z105" s="271"/>
      <c r="AA105" s="271"/>
      <c r="AB105" s="271"/>
      <c r="AC105" s="271"/>
      <c r="AD105" s="271"/>
      <c r="AE105" s="271"/>
      <c r="AF105" s="271"/>
      <c r="AG105" s="271"/>
      <c r="AH105" s="271"/>
      <c r="AI105" s="271"/>
      <c r="AJ105" s="271"/>
      <c r="AK105" s="271"/>
      <c r="AL105" s="271"/>
      <c r="AM105" s="271"/>
      <c r="AN105" s="271"/>
      <c r="AO105" s="271"/>
      <c r="AP105" s="271"/>
      <c r="AQ105" s="271"/>
      <c r="AR105" s="271"/>
      <c r="AS105" s="271"/>
      <c r="AT105" s="176"/>
      <c r="AU105" s="176"/>
      <c r="AV105" s="176"/>
      <c r="AW105" s="176"/>
      <c r="AX105" s="176"/>
      <c r="AY105" s="176"/>
      <c r="AZ105" s="176"/>
      <c r="BA105" s="176"/>
    </row>
    <row r="106" spans="1:53" hidden="1">
      <c r="A106" s="271"/>
      <c r="B106" s="271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174"/>
      <c r="N106" s="174"/>
      <c r="O106" s="174"/>
      <c r="P106" s="174"/>
      <c r="Q106" s="174"/>
      <c r="R106" s="271"/>
      <c r="S106" s="271"/>
      <c r="T106" s="271"/>
      <c r="U106" s="271"/>
      <c r="V106" s="271"/>
      <c r="W106" s="271"/>
      <c r="X106" s="271"/>
      <c r="Y106" s="271"/>
      <c r="Z106" s="271"/>
      <c r="AA106" s="271"/>
      <c r="AB106" s="271"/>
      <c r="AC106" s="271"/>
      <c r="AD106" s="271"/>
      <c r="AE106" s="271"/>
      <c r="AF106" s="271"/>
      <c r="AG106" s="271"/>
      <c r="AH106" s="271"/>
      <c r="AI106" s="271"/>
      <c r="AJ106" s="271"/>
      <c r="AK106" s="271"/>
      <c r="AL106" s="271"/>
      <c r="AM106" s="271"/>
      <c r="AN106" s="271"/>
      <c r="AO106" s="271"/>
      <c r="AP106" s="271"/>
      <c r="AQ106" s="271"/>
      <c r="AR106" s="271"/>
      <c r="AS106" s="271"/>
      <c r="AT106" s="176"/>
      <c r="AU106" s="176"/>
      <c r="AV106" s="176"/>
      <c r="AW106" s="176"/>
      <c r="AX106" s="176"/>
      <c r="AY106" s="176"/>
      <c r="AZ106" s="176"/>
      <c r="BA106" s="176"/>
    </row>
    <row r="107" spans="1:53" hidden="1">
      <c r="A107" s="271"/>
      <c r="B107" s="271"/>
      <c r="C107" s="271"/>
      <c r="D107" s="271"/>
      <c r="E107" s="271"/>
      <c r="F107" s="271"/>
      <c r="G107" s="271"/>
      <c r="H107" s="271"/>
      <c r="I107" s="271"/>
      <c r="J107" s="271"/>
      <c r="K107" s="271"/>
      <c r="L107" s="271"/>
      <c r="M107" s="174"/>
      <c r="N107" s="174"/>
      <c r="O107" s="174"/>
      <c r="P107" s="174"/>
      <c r="Q107" s="174"/>
      <c r="R107" s="271"/>
      <c r="S107" s="271"/>
      <c r="T107" s="271"/>
      <c r="U107" s="271"/>
      <c r="V107" s="271"/>
      <c r="W107" s="271"/>
      <c r="X107" s="271"/>
      <c r="Y107" s="271"/>
      <c r="Z107" s="271"/>
      <c r="AA107" s="271"/>
      <c r="AB107" s="271"/>
      <c r="AC107" s="271"/>
      <c r="AD107" s="271"/>
      <c r="AE107" s="271"/>
      <c r="AF107" s="271"/>
      <c r="AG107" s="271"/>
      <c r="AH107" s="271"/>
      <c r="AI107" s="271"/>
      <c r="AJ107" s="271"/>
      <c r="AK107" s="271"/>
      <c r="AL107" s="271"/>
      <c r="AM107" s="271"/>
      <c r="AN107" s="271"/>
      <c r="AO107" s="271"/>
      <c r="AP107" s="271"/>
      <c r="AQ107" s="271"/>
      <c r="AR107" s="271"/>
      <c r="AS107" s="271"/>
      <c r="AT107" s="176"/>
      <c r="AU107" s="176"/>
      <c r="AV107" s="176"/>
      <c r="AW107" s="176"/>
      <c r="AX107" s="176"/>
      <c r="AY107" s="176"/>
      <c r="AZ107" s="176"/>
      <c r="BA107" s="176"/>
    </row>
    <row r="108" spans="1:53" hidden="1">
      <c r="A108" s="271"/>
      <c r="B108" s="271"/>
      <c r="C108" s="271"/>
      <c r="D108" s="271"/>
      <c r="E108" s="271"/>
      <c r="F108" s="271"/>
      <c r="G108" s="271"/>
      <c r="H108" s="271"/>
      <c r="I108" s="271"/>
      <c r="J108" s="271"/>
      <c r="K108" s="271"/>
      <c r="L108" s="271"/>
      <c r="M108" s="174"/>
      <c r="N108" s="174"/>
      <c r="O108" s="174"/>
      <c r="P108" s="174"/>
      <c r="Q108" s="174"/>
      <c r="R108" s="271"/>
      <c r="S108" s="271"/>
      <c r="T108" s="271"/>
      <c r="U108" s="271"/>
      <c r="V108" s="271"/>
      <c r="W108" s="271"/>
      <c r="X108" s="271"/>
      <c r="Y108" s="271"/>
      <c r="Z108" s="271"/>
      <c r="AA108" s="271"/>
      <c r="AB108" s="271"/>
      <c r="AC108" s="271"/>
      <c r="AD108" s="271"/>
      <c r="AE108" s="271"/>
      <c r="AF108" s="271"/>
      <c r="AG108" s="271"/>
      <c r="AH108" s="271"/>
      <c r="AI108" s="271"/>
      <c r="AJ108" s="271"/>
      <c r="AK108" s="271"/>
      <c r="AL108" s="271"/>
      <c r="AM108" s="271"/>
      <c r="AN108" s="271"/>
      <c r="AO108" s="271"/>
      <c r="AP108" s="271"/>
      <c r="AQ108" s="271"/>
      <c r="AR108" s="271"/>
      <c r="AS108" s="271"/>
      <c r="AT108" s="176"/>
      <c r="AU108" s="176"/>
      <c r="AV108" s="176"/>
      <c r="AW108" s="176"/>
      <c r="AX108" s="176"/>
      <c r="AY108" s="176"/>
      <c r="AZ108" s="176"/>
      <c r="BA108" s="176"/>
    </row>
    <row r="109" spans="1:53" hidden="1">
      <c r="A109" s="271"/>
      <c r="B109" s="271"/>
      <c r="C109" s="271"/>
      <c r="D109" s="271"/>
      <c r="E109" s="271"/>
      <c r="F109" s="271"/>
      <c r="G109" s="271"/>
      <c r="H109" s="271"/>
      <c r="I109" s="271"/>
      <c r="J109" s="271"/>
      <c r="K109" s="271"/>
      <c r="L109" s="271"/>
      <c r="M109" s="271"/>
      <c r="N109" s="271"/>
      <c r="O109" s="271"/>
      <c r="P109" s="271"/>
      <c r="Q109" s="271"/>
      <c r="R109" s="271"/>
      <c r="S109" s="271"/>
      <c r="T109" s="271"/>
      <c r="U109" s="271"/>
      <c r="V109" s="271"/>
      <c r="W109" s="271"/>
      <c r="X109" s="271"/>
      <c r="Y109" s="271"/>
      <c r="Z109" s="271"/>
      <c r="AA109" s="271"/>
      <c r="AB109" s="271"/>
      <c r="AC109" s="271"/>
      <c r="AD109" s="271"/>
      <c r="AE109" s="271"/>
      <c r="AF109" s="271"/>
      <c r="AG109" s="271"/>
      <c r="AH109" s="271"/>
      <c r="AI109" s="271"/>
      <c r="AJ109" s="271"/>
      <c r="AK109" s="271"/>
      <c r="AL109" s="271"/>
      <c r="AM109" s="271"/>
      <c r="AN109" s="271"/>
      <c r="AO109" s="271"/>
      <c r="AP109" s="271"/>
      <c r="AQ109" s="271"/>
      <c r="AR109" s="271"/>
      <c r="AS109" s="271"/>
      <c r="AT109" s="176"/>
      <c r="AU109" s="176"/>
      <c r="AV109" s="176"/>
      <c r="AW109" s="176"/>
      <c r="AX109" s="176"/>
      <c r="AY109" s="176"/>
      <c r="AZ109" s="176"/>
      <c r="BA109" s="176"/>
    </row>
    <row r="110" spans="1:53" hidden="1">
      <c r="A110" s="271"/>
      <c r="B110" s="271"/>
      <c r="C110" s="271"/>
      <c r="D110" s="271"/>
      <c r="E110" s="271"/>
      <c r="F110" s="271"/>
      <c r="G110" s="271"/>
      <c r="H110" s="271"/>
      <c r="I110" s="271"/>
      <c r="J110" s="271"/>
      <c r="K110" s="271"/>
      <c r="L110" s="271"/>
      <c r="M110" s="271"/>
      <c r="N110" s="271"/>
      <c r="O110" s="271"/>
      <c r="P110" s="271"/>
      <c r="Q110" s="271"/>
      <c r="R110" s="271"/>
      <c r="S110" s="271"/>
      <c r="T110" s="271"/>
      <c r="U110" s="271"/>
      <c r="V110" s="271"/>
      <c r="W110" s="271"/>
      <c r="X110" s="271"/>
      <c r="Y110" s="271"/>
      <c r="Z110" s="271"/>
      <c r="AA110" s="271"/>
      <c r="AB110" s="271"/>
      <c r="AC110" s="271"/>
      <c r="AD110" s="271"/>
      <c r="AE110" s="271"/>
      <c r="AF110" s="271"/>
      <c r="AG110" s="271"/>
      <c r="AH110" s="271"/>
      <c r="AI110" s="271"/>
      <c r="AJ110" s="271"/>
      <c r="AK110" s="271"/>
      <c r="AL110" s="271"/>
      <c r="AM110" s="271"/>
      <c r="AN110" s="271"/>
      <c r="AO110" s="271"/>
      <c r="AP110" s="271"/>
      <c r="AQ110" s="271"/>
      <c r="AR110" s="271"/>
      <c r="AS110" s="271"/>
      <c r="AT110" s="176"/>
      <c r="AU110" s="176"/>
      <c r="AV110" s="176"/>
      <c r="AW110" s="176"/>
      <c r="AX110" s="176"/>
      <c r="AY110" s="176"/>
      <c r="AZ110" s="176"/>
      <c r="BA110" s="176"/>
    </row>
    <row r="111" spans="1:53" hidden="1">
      <c r="A111" s="271"/>
      <c r="B111" s="271"/>
      <c r="C111" s="271"/>
      <c r="D111" s="271"/>
      <c r="E111" s="271"/>
      <c r="F111" s="271"/>
      <c r="G111" s="271"/>
      <c r="H111" s="271"/>
      <c r="I111" s="271"/>
      <c r="J111" s="271"/>
      <c r="K111" s="271"/>
      <c r="L111" s="271"/>
      <c r="M111" s="271"/>
      <c r="N111" s="271"/>
      <c r="O111" s="271"/>
      <c r="P111" s="271"/>
      <c r="Q111" s="271"/>
      <c r="R111" s="271"/>
      <c r="S111" s="271"/>
      <c r="T111" s="271"/>
      <c r="U111" s="271"/>
      <c r="V111" s="271"/>
      <c r="W111" s="271"/>
      <c r="X111" s="271"/>
      <c r="Y111" s="271"/>
      <c r="Z111" s="271"/>
      <c r="AA111" s="271"/>
      <c r="AB111" s="271"/>
      <c r="AC111" s="271"/>
      <c r="AD111" s="271"/>
      <c r="AE111" s="271"/>
      <c r="AF111" s="271"/>
      <c r="AG111" s="271"/>
      <c r="AH111" s="271"/>
      <c r="AI111" s="271"/>
      <c r="AJ111" s="271"/>
      <c r="AK111" s="271"/>
      <c r="AL111" s="271"/>
      <c r="AM111" s="271"/>
      <c r="AN111" s="271"/>
      <c r="AO111" s="271"/>
      <c r="AP111" s="271"/>
      <c r="AQ111" s="271"/>
      <c r="AR111" s="271"/>
      <c r="AS111" s="271"/>
      <c r="AT111" s="176"/>
      <c r="AU111" s="176"/>
      <c r="AV111" s="176"/>
      <c r="AW111" s="176"/>
      <c r="AX111" s="176"/>
      <c r="AY111" s="176"/>
      <c r="AZ111" s="176"/>
      <c r="BA111" s="176"/>
    </row>
    <row r="112" spans="1:53" hidden="1">
      <c r="A112" s="271"/>
      <c r="B112" s="271"/>
      <c r="C112" s="271"/>
      <c r="D112" s="271"/>
      <c r="E112" s="271"/>
      <c r="F112" s="271"/>
      <c r="G112" s="271"/>
      <c r="H112" s="271"/>
      <c r="I112" s="271"/>
      <c r="J112" s="271"/>
      <c r="K112" s="271"/>
      <c r="L112" s="271"/>
      <c r="M112" s="271"/>
      <c r="N112" s="271"/>
      <c r="O112" s="271"/>
      <c r="P112" s="271"/>
      <c r="Q112" s="271"/>
      <c r="R112" s="271"/>
      <c r="S112" s="271"/>
      <c r="T112" s="271"/>
      <c r="U112" s="271"/>
      <c r="V112" s="271"/>
      <c r="W112" s="271"/>
      <c r="X112" s="271"/>
      <c r="Y112" s="271"/>
      <c r="Z112" s="271"/>
      <c r="AA112" s="271"/>
      <c r="AB112" s="271"/>
      <c r="AC112" s="271"/>
      <c r="AD112" s="271"/>
      <c r="AE112" s="271"/>
      <c r="AF112" s="271"/>
      <c r="AG112" s="271"/>
      <c r="AH112" s="271"/>
      <c r="AI112" s="271"/>
      <c r="AJ112" s="271"/>
      <c r="AK112" s="271"/>
      <c r="AL112" s="271"/>
      <c r="AM112" s="271"/>
      <c r="AN112" s="271"/>
      <c r="AO112" s="271"/>
      <c r="AP112" s="271"/>
      <c r="AQ112" s="271"/>
      <c r="AR112" s="271"/>
      <c r="AS112" s="271"/>
      <c r="AT112" s="176"/>
      <c r="AU112" s="176"/>
      <c r="AV112" s="176"/>
      <c r="AW112" s="176"/>
      <c r="AX112" s="176"/>
      <c r="AY112" s="176"/>
      <c r="AZ112" s="176"/>
      <c r="BA112" s="176"/>
    </row>
    <row r="113" spans="1:53" hidden="1">
      <c r="A113" s="271"/>
      <c r="B113" s="271"/>
      <c r="C113" s="271"/>
      <c r="D113" s="271"/>
      <c r="E113" s="271"/>
      <c r="F113" s="271"/>
      <c r="G113" s="271"/>
      <c r="H113" s="271"/>
      <c r="I113" s="271"/>
      <c r="J113" s="271"/>
      <c r="K113" s="271"/>
      <c r="L113" s="271"/>
      <c r="M113" s="271"/>
      <c r="N113" s="271"/>
      <c r="O113" s="271"/>
      <c r="P113" s="271"/>
      <c r="Q113" s="271"/>
      <c r="R113" s="271"/>
      <c r="S113" s="271"/>
      <c r="T113" s="271"/>
      <c r="U113" s="271"/>
      <c r="V113" s="271"/>
      <c r="W113" s="271"/>
      <c r="X113" s="271"/>
      <c r="Y113" s="271"/>
      <c r="Z113" s="271"/>
      <c r="AA113" s="271"/>
      <c r="AB113" s="271"/>
      <c r="AC113" s="271"/>
      <c r="AD113" s="271"/>
      <c r="AE113" s="271"/>
      <c r="AF113" s="271"/>
      <c r="AG113" s="271"/>
      <c r="AH113" s="271"/>
      <c r="AI113" s="271"/>
      <c r="AJ113" s="271"/>
      <c r="AK113" s="271"/>
      <c r="AL113" s="271"/>
      <c r="AM113" s="271"/>
      <c r="AN113" s="271"/>
      <c r="AO113" s="271"/>
      <c r="AP113" s="271"/>
      <c r="AQ113" s="271"/>
      <c r="AR113" s="271"/>
      <c r="AS113" s="271"/>
      <c r="AT113" s="176"/>
      <c r="AU113" s="176"/>
      <c r="AV113" s="176"/>
      <c r="AW113" s="176"/>
      <c r="AX113" s="176"/>
      <c r="AY113" s="176"/>
      <c r="AZ113" s="176"/>
      <c r="BA113" s="176"/>
    </row>
    <row r="114" spans="1:53" hidden="1">
      <c r="A114" s="271"/>
      <c r="B114" s="271"/>
      <c r="C114" s="271"/>
      <c r="D114" s="271"/>
      <c r="E114" s="271"/>
      <c r="F114" s="271"/>
      <c r="G114" s="271"/>
      <c r="H114" s="271"/>
      <c r="I114" s="271"/>
      <c r="J114" s="271"/>
      <c r="K114" s="271"/>
      <c r="L114" s="271"/>
      <c r="M114" s="271"/>
      <c r="N114" s="271"/>
      <c r="O114" s="271"/>
      <c r="P114" s="271"/>
      <c r="Q114" s="271"/>
      <c r="R114" s="271"/>
      <c r="S114" s="271"/>
      <c r="T114" s="271"/>
      <c r="U114" s="271"/>
      <c r="V114" s="271"/>
      <c r="W114" s="271"/>
      <c r="X114" s="271"/>
      <c r="Y114" s="271"/>
      <c r="Z114" s="271"/>
      <c r="AA114" s="271"/>
      <c r="AB114" s="271"/>
      <c r="AC114" s="271"/>
      <c r="AD114" s="271"/>
      <c r="AE114" s="271"/>
      <c r="AF114" s="271"/>
      <c r="AG114" s="271"/>
      <c r="AH114" s="271"/>
      <c r="AI114" s="271"/>
      <c r="AJ114" s="271"/>
      <c r="AK114" s="271"/>
      <c r="AL114" s="271"/>
      <c r="AM114" s="271"/>
      <c r="AN114" s="271"/>
      <c r="AO114" s="271"/>
      <c r="AP114" s="271"/>
      <c r="AQ114" s="271"/>
      <c r="AR114" s="271"/>
      <c r="AS114" s="271"/>
      <c r="AT114" s="176"/>
      <c r="AU114" s="176"/>
      <c r="AV114" s="176"/>
      <c r="AW114" s="176"/>
      <c r="AX114" s="176"/>
      <c r="AY114" s="176"/>
      <c r="AZ114" s="176"/>
      <c r="BA114" s="176"/>
    </row>
    <row r="115" spans="1:53" hidden="1">
      <c r="A115" s="176"/>
      <c r="B115" s="176"/>
      <c r="C115" s="176"/>
      <c r="D115" s="176"/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  <c r="O115" s="176"/>
      <c r="P115" s="176"/>
      <c r="Q115" s="176"/>
      <c r="R115" s="176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  <c r="AF115" s="176"/>
      <c r="AG115" s="176"/>
      <c r="AH115" s="176"/>
      <c r="AI115" s="176"/>
      <c r="AJ115" s="176"/>
      <c r="AK115" s="176"/>
      <c r="AL115" s="176"/>
      <c r="AM115" s="176"/>
      <c r="AN115" s="176"/>
      <c r="AO115" s="176"/>
      <c r="AP115" s="176"/>
      <c r="AQ115" s="176"/>
      <c r="AR115" s="176"/>
      <c r="AS115" s="176"/>
      <c r="AT115" s="176"/>
      <c r="AU115" s="176"/>
      <c r="AV115" s="176"/>
      <c r="AW115" s="176"/>
      <c r="AX115" s="176"/>
      <c r="AY115" s="176"/>
      <c r="AZ115" s="176"/>
      <c r="BA115" s="176"/>
    </row>
    <row r="116" spans="1:53" hidden="1">
      <c r="A116" s="176"/>
      <c r="B116" s="176"/>
      <c r="C116" s="176"/>
      <c r="D116" s="176"/>
      <c r="E116" s="176"/>
      <c r="F116" s="176"/>
      <c r="G116" s="176"/>
      <c r="H116" s="176"/>
      <c r="I116" s="176"/>
      <c r="J116" s="176"/>
      <c r="K116" s="176"/>
      <c r="L116" s="176"/>
      <c r="M116" s="176"/>
      <c r="N116" s="176"/>
      <c r="O116" s="176"/>
      <c r="P116" s="176"/>
      <c r="Q116" s="176"/>
      <c r="R116" s="176"/>
      <c r="S116" s="176"/>
      <c r="T116" s="176"/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  <c r="AF116" s="176"/>
      <c r="AG116" s="176"/>
      <c r="AH116" s="176"/>
      <c r="AI116" s="176"/>
      <c r="AJ116" s="176"/>
      <c r="AK116" s="176"/>
      <c r="AL116" s="176"/>
      <c r="AM116" s="176"/>
      <c r="AN116" s="176"/>
      <c r="AO116" s="176"/>
      <c r="AP116" s="176"/>
      <c r="AQ116" s="176"/>
      <c r="AR116" s="176"/>
      <c r="AS116" s="176"/>
      <c r="AT116" s="176"/>
      <c r="AU116" s="176"/>
      <c r="AV116" s="176"/>
      <c r="AW116" s="176"/>
      <c r="AX116" s="176"/>
      <c r="AY116" s="176"/>
      <c r="AZ116" s="176"/>
      <c r="BA116" s="176"/>
    </row>
    <row r="117" spans="1:53" hidden="1">
      <c r="A117" s="176"/>
      <c r="B117" s="176"/>
      <c r="C117" s="176"/>
      <c r="D117" s="176"/>
      <c r="E117" s="176"/>
      <c r="F117" s="176"/>
      <c r="G117" s="176"/>
      <c r="H117" s="176"/>
      <c r="I117" s="176"/>
      <c r="J117" s="176"/>
      <c r="K117" s="176"/>
      <c r="L117" s="176"/>
      <c r="M117" s="176"/>
      <c r="N117" s="176"/>
      <c r="O117" s="176"/>
      <c r="P117" s="176"/>
      <c r="Q117" s="176"/>
      <c r="R117" s="176"/>
      <c r="S117" s="176"/>
      <c r="T117" s="176"/>
      <c r="U117" s="176"/>
      <c r="V117" s="176"/>
      <c r="W117" s="176"/>
      <c r="X117" s="176"/>
      <c r="Y117" s="176"/>
      <c r="Z117" s="176"/>
      <c r="AA117" s="176"/>
      <c r="AB117" s="176"/>
      <c r="AC117" s="176"/>
      <c r="AD117" s="176"/>
      <c r="AE117" s="176"/>
      <c r="AF117" s="176"/>
      <c r="AG117" s="176"/>
      <c r="AH117" s="176"/>
      <c r="AI117" s="176"/>
      <c r="AJ117" s="176"/>
      <c r="AK117" s="176"/>
      <c r="AL117" s="176"/>
      <c r="AM117" s="176"/>
      <c r="AN117" s="176"/>
      <c r="AO117" s="176"/>
      <c r="AP117" s="176"/>
      <c r="AQ117" s="176"/>
      <c r="AR117" s="176"/>
      <c r="AS117" s="176"/>
      <c r="AT117" s="176"/>
      <c r="AU117" s="176"/>
      <c r="AV117" s="176"/>
      <c r="AW117" s="176"/>
      <c r="AX117" s="176"/>
      <c r="AY117" s="176"/>
      <c r="AZ117" s="176"/>
      <c r="BA117" s="176"/>
    </row>
  </sheetData>
  <sheetProtection algorithmName="SHA-512" hashValue="MJsIOZmtWiRfnKYcn/kedl66oqW9ThJeBbbEEYuakKZ09am7KKW8Q9xce/YoYr+qONMnJ3oL5Un8hB3dq3673w==" saltValue="MRW2POTD5PVD131GdcQmGA==" spinCount="100000" sheet="1" objects="1" scenarios="1" selectLockedCells="1"/>
  <mergeCells count="32">
    <mergeCell ref="G38:K38"/>
    <mergeCell ref="M38:Q38"/>
    <mergeCell ref="S38:AS38"/>
    <mergeCell ref="A39:E39"/>
    <mergeCell ref="M39:Q39"/>
    <mergeCell ref="G40:K40"/>
    <mergeCell ref="A41:E41"/>
    <mergeCell ref="A43:E43"/>
    <mergeCell ref="G44:K44"/>
    <mergeCell ref="G49:K49"/>
    <mergeCell ref="A50:E50"/>
    <mergeCell ref="A53:E53"/>
    <mergeCell ref="A55:E55"/>
    <mergeCell ref="G56:K56"/>
    <mergeCell ref="S58:X58"/>
    <mergeCell ref="S59:X59"/>
    <mergeCell ref="A60:E60"/>
    <mergeCell ref="G60:K60"/>
    <mergeCell ref="A62:E62"/>
    <mergeCell ref="G62:K62"/>
    <mergeCell ref="X61:X67"/>
    <mergeCell ref="M63:Q63"/>
    <mergeCell ref="G64:K64"/>
    <mergeCell ref="A67:E67"/>
    <mergeCell ref="A70:E70"/>
    <mergeCell ref="A75:E75"/>
    <mergeCell ref="B76:C76"/>
    <mergeCell ref="D76:E76"/>
    <mergeCell ref="M76:Q76"/>
    <mergeCell ref="S76:X76"/>
    <mergeCell ref="R92:R93"/>
    <mergeCell ref="X77:X78"/>
  </mergeCells>
  <phoneticPr fontId="37" type="noConversion"/>
  <conditionalFormatting sqref="N103">
    <cfRule type="cellIs" dxfId="47" priority="21" operator="equal">
      <formula>"*"</formula>
    </cfRule>
    <cfRule type="cellIs" dxfId="46" priority="22" operator="equal">
      <formula>"-"</formula>
    </cfRule>
    <cfRule type="cellIs" dxfId="45" priority="23" operator="equal">
      <formula>"-"</formula>
    </cfRule>
    <cfRule type="cellIs" dxfId="44" priority="24" operator="equal">
      <formula>"-"</formula>
    </cfRule>
  </conditionalFormatting>
  <conditionalFormatting sqref="N104">
    <cfRule type="cellIs" dxfId="43" priority="17" operator="equal">
      <formula>"*"</formula>
    </cfRule>
    <cfRule type="cellIs" dxfId="42" priority="18" operator="equal">
      <formula>"-"</formula>
    </cfRule>
    <cfRule type="cellIs" dxfId="41" priority="19" operator="equal">
      <formula>"-"</formula>
    </cfRule>
    <cfRule type="cellIs" dxfId="40" priority="20" operator="equal">
      <formula>"-"</formula>
    </cfRule>
  </conditionalFormatting>
  <conditionalFormatting sqref="N105">
    <cfRule type="cellIs" dxfId="39" priority="13" operator="equal">
      <formula>"*"</formula>
    </cfRule>
    <cfRule type="cellIs" dxfId="38" priority="14" operator="equal">
      <formula>"-"</formula>
    </cfRule>
    <cfRule type="cellIs" dxfId="37" priority="15" operator="equal">
      <formula>"-"</formula>
    </cfRule>
    <cfRule type="cellIs" dxfId="36" priority="16" operator="equal">
      <formula>"-"</formula>
    </cfRule>
  </conditionalFormatting>
  <conditionalFormatting sqref="N106">
    <cfRule type="cellIs" dxfId="35" priority="9" operator="equal">
      <formula>"*"</formula>
    </cfRule>
    <cfRule type="cellIs" dxfId="34" priority="10" operator="equal">
      <formula>"-"</formula>
    </cfRule>
    <cfRule type="cellIs" dxfId="33" priority="11" operator="equal">
      <formula>"-"</formula>
    </cfRule>
    <cfRule type="cellIs" dxfId="32" priority="12" operator="equal">
      <formula>"-"</formula>
    </cfRule>
  </conditionalFormatting>
  <conditionalFormatting sqref="N107">
    <cfRule type="cellIs" dxfId="31" priority="5" operator="equal">
      <formula>"*"</formula>
    </cfRule>
    <cfRule type="cellIs" dxfId="30" priority="6" operator="equal">
      <formula>"-"</formula>
    </cfRule>
    <cfRule type="cellIs" dxfId="29" priority="7" operator="equal">
      <formula>"-"</formula>
    </cfRule>
    <cfRule type="cellIs" dxfId="28" priority="8" operator="equal">
      <formula>"-"</formula>
    </cfRule>
  </conditionalFormatting>
  <conditionalFormatting sqref="N108">
    <cfRule type="cellIs" dxfId="27" priority="1" operator="equal">
      <formula>"*"</formula>
    </cfRule>
    <cfRule type="cellIs" dxfId="26" priority="2" operator="equal">
      <formula>"-"</formula>
    </cfRule>
    <cfRule type="cellIs" dxfId="25" priority="3" operator="equal">
      <formula>"-"</formula>
    </cfRule>
    <cfRule type="cellIs" dxfId="24" priority="4" operator="equal">
      <formula>"-"</formula>
    </cfRule>
  </conditionalFormatting>
  <conditionalFormatting sqref="R107:R112">
    <cfRule type="cellIs" dxfId="23" priority="25" operator="equal">
      <formula>"固件初始化&amp;动态访问"</formula>
    </cfRule>
    <cfRule type="cellIs" dxfId="22" priority="26" operator="equal">
      <formula>"固件初始化"</formula>
    </cfRule>
    <cfRule type="cellIs" dxfId="21" priority="27" operator="equal">
      <formula>"固件动态访问"</formula>
    </cfRule>
  </conditionalFormatting>
  <dataValidations count="39">
    <dataValidation allowBlank="1" showInputMessage="1" showErrorMessage="1" error="输入范围是64~1024，步长为2" sqref="A1:C1"/>
    <dataValidation type="whole" allowBlank="1" showInputMessage="1" showErrorMessage="1" errorTitle="超出范围" error="曝光延迟的范围是0-5000us" sqref="D48">
      <formula1>0</formula1>
      <formula2>5000</formula2>
    </dataValidation>
    <dataValidation type="custom" allowBlank="1" showInputMessage="1" showErrorMessage="1" error="Input range:[4,'WidthMax'],and is an integer multiple of 4" sqref="C4">
      <formula1>AND((C4&lt;=C2),(C4&gt;=4),(MOD(C4,4)=0))</formula1>
    </dataValidation>
    <dataValidation type="custom" allowBlank="1" showInputMessage="1" showErrorMessage="1" error="Input range:[4,'HeightMax'],and is an integer multiple of 4" sqref="C5">
      <formula1>AND((C5&lt;=C3),(C5&gt;=4),(MOD(C5,4)=0))</formula1>
    </dataValidation>
    <dataValidation type="list" allowBlank="1" showInputMessage="1" showErrorMessage="1" sqref="D63">
      <formula1>"1000,100"</formula1>
    </dataValidation>
    <dataValidation type="custom" allowBlank="1" showInputMessage="1" showErrorMessage="1" error="Input 8 or 12" sqref="C12">
      <formula1>OR((C12=8),(C12=12))</formula1>
    </dataValidation>
    <dataValidation type="list" allowBlank="1" showInputMessage="1" showErrorMessage="1" prompt="设置水平Binning/Skipping时，需要同步修改水平ROI" sqref="D71:D74">
      <formula1>"1,2"</formula1>
    </dataValidation>
    <dataValidation type="whole" allowBlank="1" showInputMessage="1" showErrorMessage="1" error="Input range from 100 to 15000000" sqref="C10">
      <formula1>100</formula1>
      <formula2>15000000</formula2>
    </dataValidation>
    <dataValidation type="custom" allowBlank="1" showInputMessage="1" showErrorMessage="1" error="Input 1000 or 100" sqref="C18">
      <formula1>OR((C18=1000),(C18=100))</formula1>
    </dataValidation>
    <dataValidation type="whole" allowBlank="1" showInputMessage="1" showErrorMessage="1" error="Input range is 0~GevSCPDMaxValue" sqref="C14">
      <formula1>0</formula1>
      <formula2>C15</formula2>
    </dataValidation>
    <dataValidation type="whole" allowBlank="1" showInputMessage="1" showErrorMessage="1" error="Input range from 0 to 5000" sqref="C11">
      <formula1>0</formula1>
      <formula2>5000</formula2>
    </dataValidation>
    <dataValidation type="custom" allowBlank="1" showInputMessage="1" showErrorMessage="1" error="Input range is 512~8192, step is 4" sqref="C13">
      <formula1>AND((C13&lt;=8192),(C13&gt;=512),(MOD(C13,4)=0))</formula1>
    </dataValidation>
    <dataValidation type="custom" allowBlank="1" showInputMessage="1" showErrorMessage="1" error="Input range from 0.1 to 10000, step 0.1" sqref="C16">
      <formula1>AND(TRUNC(C16,1)=C16,(C16&gt;=0.1),(C16&lt;=10000))</formula1>
    </dataValidation>
    <dataValidation type="whole" allowBlank="1" showInputMessage="1" showErrorMessage="1" errorTitle="设置值超出范围" error="包间隔设置值超出范围" sqref="D65">
      <formula1>0</formula1>
      <formula2>J61</formula2>
    </dataValidation>
    <dataValidation type="custom" allowBlank="1" showInputMessage="1" showErrorMessage="1" error="垂直偏移范围：（0，C21-D21）；_x000a_垂直步长为4；_x000a_" sqref="D57">
      <formula1>AND(MOD(D57,4)=0,D57&gt;=0,D57&lt;=C59-D59)</formula1>
    </dataValidation>
    <dataValidation type="list" allowBlank="1" showInputMessage="1" showErrorMessage="1" sqref="C38">
      <formula1>$S$5:$S$13</formula1>
    </dataValidation>
    <dataValidation type="custom" allowBlank="1" showInputMessage="1" showErrorMessage="1" error="Input 0 or 1" sqref="C17 C21">
      <formula1>OR((C17=0),(C17=1))</formula1>
    </dataValidation>
    <dataValidation type="whole" allowBlank="1" showInputMessage="1" showErrorMessage="1" error="Input range:[0, 'BandwidthReserveMaxValue'], and is an integer multiple of 1" sqref="C19">
      <formula1>0</formula1>
      <formula2>C20</formula2>
    </dataValidation>
    <dataValidation type="list" allowBlank="1" showInputMessage="1" showErrorMessage="1" sqref="C37">
      <formula1>"A7-50T,A7-100T"</formula1>
    </dataValidation>
    <dataValidation type="list" allowBlank="1" showInputMessage="1" showErrorMessage="1" sqref="D42">
      <formula1>"8,12"</formula1>
    </dataValidation>
    <dataValidation type="list" allowBlank="1" showInputMessage="1" showErrorMessage="1" sqref="D61">
      <formula1>"0,1"</formula1>
    </dataValidation>
    <dataValidation type="list" allowBlank="1" showInputMessage="1" showErrorMessage="1" errorTitle="超出范围" error="曝光时间的范围是100us-1s" prompt="极小曝光模式下不支持trigger_width功能！" sqref="D44">
      <formula1>"Timed,TriggerWidth"</formula1>
    </dataValidation>
    <dataValidation type="whole" operator="lessThanOrEqual" allowBlank="1" showInputMessage="1" showErrorMessage="1" errorTitle="超出范围" error="ExposureOverlapTimeMax应小于（读出时间-两次曝光间隔最小值）" sqref="D45">
      <formula1>INT((J45-P51)*J41/1000)</formula1>
    </dataValidation>
    <dataValidation type="list" allowBlank="1" showInputMessage="1" showErrorMessage="1" errorTitle="超出范围" error="曝光时间的范围是63us-1s" sqref="D46">
      <formula1>"Standard,Ultra Short"</formula1>
    </dataValidation>
    <dataValidation type="whole" allowBlank="1" showInputMessage="1" showErrorMessage="1" errorTitle="超出范围" error="标准模式曝光范围：100us-15s_x000a_极小曝光模式曝光范围：25us-99us" sqref="D47">
      <formula1>IF(D46="Standard",100,25)</formula1>
      <formula2>IF(D46="Standard",15000000,99)</formula2>
    </dataValidation>
    <dataValidation type="whole" operator="greaterThanOrEqual" allowBlank="1" showInputMessage="1" showErrorMessage="1" errorTitle="超出范围" error="触发信号长度需要大于0" sqref="D49">
      <formula1>0</formula1>
    </dataValidation>
    <dataValidation type="list" allowBlank="1" showInputMessage="1" showErrorMessage="1" errorTitle="超出范围" error="曝光时间的范围是20us-1s" sqref="D51">
      <formula1>"0,1"</formula1>
    </dataValidation>
    <dataValidation type="list" allowBlank="1" showInputMessage="1" showErrorMessage="1" errorTitle="超出范围" error="曝光时间的范围是63us-1s" prompt="突发采集模式只能在触发模式下选择" sqref="D52">
      <formula1>"Standard,HighSpeed"</formula1>
    </dataValidation>
    <dataValidation type="whole" allowBlank="1" showInputMessage="1" showErrorMessage="1" errorTitle="超出范围" error="触发延时的范围是0-3000000us" sqref="D54">
      <formula1>0</formula1>
      <formula2>3000000</formula2>
    </dataValidation>
    <dataValidation type="custom" allowBlank="1" showInputMessage="1" showErrorMessage="1" error="水平偏移范围：（0，C20-D20）；_x000a_水平步长为4；_x000a_" sqref="D56">
      <formula1>AND(MOD(D56,4)=0,D56&gt;=0,D56&lt;=C58-D58)</formula1>
    </dataValidation>
    <dataValidation type="whole" allowBlank="1" showInputMessage="1" showErrorMessage="1" errorTitle="输入数值非法" error="最小值4，最大值D12_x000a_" sqref="D58">
      <formula1>4</formula1>
      <formula2>C58</formula2>
    </dataValidation>
    <dataValidation type="custom" allowBlank="1" showInputMessage="1" showErrorMessage="1" error="Input 1 or 2" sqref="C6:C7">
      <formula1>AND(OR((C6=1),(C6=2)),C8=1)</formula1>
    </dataValidation>
    <dataValidation type="whole" allowBlank="1" showInputMessage="1" showErrorMessage="1" errorTitle="输入数值非法" error="最小值4，最大值C21" sqref="D59">
      <formula1>2</formula1>
      <formula2>C59</formula2>
    </dataValidation>
    <dataValidation type="custom" allowBlank="1" showInputMessage="1" showErrorMessage="1" sqref="D64">
      <formula1>AND(MOD(D64,4)=0,D64&gt;=512,D64&lt;=16384)</formula1>
    </dataValidation>
    <dataValidation type="whole" allowBlank="1" showInputMessage="1" showErrorMessage="1" errorTitle="设置值超出范围" error="预留带宽设置值超出范围" sqref="D66">
      <formula1>0</formula1>
      <formula2>J63</formula2>
    </dataValidation>
    <dataValidation errorStyle="information" allowBlank="1" showInputMessage="1" showErrorMessage="1" error="设置水平Binning/Skipping时，需要同步修改水平ROI" sqref="H68"/>
    <dataValidation type="list" allowBlank="1" showInputMessage="1" showErrorMessage="1" errorTitle="超出范围" error="0:关闭_x000a_1:打开" sqref="D68">
      <formula1>"0,1"</formula1>
    </dataValidation>
    <dataValidation type="decimal" allowBlank="1" showInputMessage="1" showErrorMessage="1" sqref="D69">
      <formula1>0.1</formula1>
      <formula2>10000</formula2>
    </dataValidation>
    <dataValidation type="custom" allowBlank="1" showInputMessage="1" showErrorMessage="1" error="Input 1 or 2" sqref="C8:C9">
      <formula1>AND(OR((C8=1),(C8=2)),C6=1)</formula1>
    </dataValidation>
  </dataValidations>
  <pageMargins left="0.7" right="0.7" top="0.75" bottom="0.75" header="0.3" footer="0.3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opLeftCell="B1" workbookViewId="0">
      <selection activeCell="R92" sqref="R92"/>
    </sheetView>
  </sheetViews>
  <sheetFormatPr defaultColWidth="9" defaultRowHeight="13.5"/>
  <cols>
    <col min="1" max="1" width="18.125" style="101" hidden="1" customWidth="1"/>
    <col min="2" max="2" width="23.375" style="101" customWidth="1"/>
    <col min="3" max="3" width="14.75" style="101" customWidth="1"/>
    <col min="4" max="4" width="14.125" style="101" customWidth="1"/>
    <col min="5" max="5" width="17.375" style="101" customWidth="1"/>
    <col min="6" max="8" width="9" style="101"/>
    <col min="9" max="9" width="9" style="101" hidden="1" customWidth="1"/>
    <col min="10" max="10" width="20.75" style="101" hidden="1" customWidth="1"/>
    <col min="11" max="13" width="9" style="101" hidden="1" customWidth="1"/>
    <col min="14" max="16384" width="9" style="101"/>
  </cols>
  <sheetData>
    <row r="1" spans="1:4" s="100" customFormat="1">
      <c r="A1" s="102" t="s">
        <v>197</v>
      </c>
      <c r="B1" s="102"/>
      <c r="C1" s="103"/>
    </row>
    <row r="2" spans="1:4" customFormat="1">
      <c r="A2" s="104" t="s">
        <v>198</v>
      </c>
      <c r="B2" s="104" t="s">
        <v>199</v>
      </c>
      <c r="C2" s="104">
        <f>C71</f>
        <v>3088</v>
      </c>
    </row>
    <row r="3" spans="1:4" customFormat="1">
      <c r="A3" s="104" t="s">
        <v>200</v>
      </c>
      <c r="B3" s="104" t="s">
        <v>201</v>
      </c>
      <c r="C3" s="104">
        <f>C72</f>
        <v>2064</v>
      </c>
    </row>
    <row r="4" spans="1:4" s="100" customFormat="1">
      <c r="A4" s="102" t="s">
        <v>202</v>
      </c>
      <c r="B4" s="102" t="s">
        <v>203</v>
      </c>
      <c r="C4" s="103">
        <v>3088</v>
      </c>
      <c r="D4" s="105" t="str">
        <f>IF(OR(C4&gt;C2,C4&lt;4),J91,"")</f>
        <v/>
      </c>
    </row>
    <row r="5" spans="1:4" s="100" customFormat="1">
      <c r="A5" s="102" t="s">
        <v>204</v>
      </c>
      <c r="B5" s="102" t="s">
        <v>205</v>
      </c>
      <c r="C5" s="103">
        <v>2064</v>
      </c>
      <c r="D5" s="106" t="str">
        <f>IF(OR(C5&gt;C3,C5&lt;2),J92,"")</f>
        <v/>
      </c>
    </row>
    <row r="6" spans="1:4" customFormat="1">
      <c r="A6" s="104" t="s">
        <v>206</v>
      </c>
      <c r="B6" s="104" t="s">
        <v>207</v>
      </c>
      <c r="C6" s="107">
        <v>1</v>
      </c>
    </row>
    <row r="7" spans="1:4" customFormat="1">
      <c r="A7" s="104" t="s">
        <v>208</v>
      </c>
      <c r="B7" s="104" t="s">
        <v>209</v>
      </c>
      <c r="C7" s="107">
        <v>1</v>
      </c>
    </row>
    <row r="8" spans="1:4" customFormat="1">
      <c r="A8" s="104" t="s">
        <v>210</v>
      </c>
      <c r="B8" s="104" t="s">
        <v>211</v>
      </c>
      <c r="C8" s="107">
        <v>1</v>
      </c>
    </row>
    <row r="9" spans="1:4" customFormat="1">
      <c r="A9" s="104" t="s">
        <v>212</v>
      </c>
      <c r="B9" s="104" t="s">
        <v>213</v>
      </c>
      <c r="C9" s="107">
        <v>1</v>
      </c>
    </row>
    <row r="10" spans="1:4" s="100" customFormat="1">
      <c r="A10" s="102" t="s">
        <v>214</v>
      </c>
      <c r="B10" s="102" t="s">
        <v>215</v>
      </c>
      <c r="C10" s="103">
        <v>50000</v>
      </c>
    </row>
    <row r="11" spans="1:4" s="100" customFormat="1">
      <c r="A11" s="102"/>
      <c r="B11" s="102" t="s">
        <v>217</v>
      </c>
      <c r="C11" s="103">
        <v>0</v>
      </c>
    </row>
    <row r="12" spans="1:4" s="100" customFormat="1">
      <c r="A12" s="102" t="s">
        <v>218</v>
      </c>
      <c r="B12" s="102" t="s">
        <v>219</v>
      </c>
      <c r="C12" s="103">
        <v>8</v>
      </c>
    </row>
    <row r="13" spans="1:4" s="100" customFormat="1">
      <c r="A13" s="102" t="s">
        <v>220</v>
      </c>
      <c r="B13" s="102" t="s">
        <v>221</v>
      </c>
      <c r="C13" s="103">
        <v>1500</v>
      </c>
    </row>
    <row r="14" spans="1:4" s="100" customFormat="1">
      <c r="A14" s="102" t="s">
        <v>222</v>
      </c>
      <c r="B14" s="102" t="s">
        <v>223</v>
      </c>
      <c r="C14" s="103">
        <v>0</v>
      </c>
    </row>
    <row r="15" spans="1:4" s="100" customFormat="1">
      <c r="A15" s="102" t="s">
        <v>224</v>
      </c>
      <c r="B15" s="102" t="s">
        <v>225</v>
      </c>
      <c r="C15" s="102">
        <f>C55</f>
        <v>180000</v>
      </c>
    </row>
    <row r="16" spans="1:4" s="100" customFormat="1">
      <c r="A16" s="102" t="s">
        <v>230</v>
      </c>
      <c r="B16" s="102" t="s">
        <v>231</v>
      </c>
      <c r="C16" s="103">
        <v>1000</v>
      </c>
    </row>
    <row r="17" spans="1:3" s="100" customFormat="1">
      <c r="A17" s="102" t="s">
        <v>232</v>
      </c>
      <c r="B17" s="102" t="s">
        <v>233</v>
      </c>
      <c r="C17" s="103">
        <v>10</v>
      </c>
    </row>
    <row r="18" spans="1:3" s="100" customFormat="1">
      <c r="A18" s="102" t="s">
        <v>234</v>
      </c>
      <c r="B18" s="102" t="s">
        <v>235</v>
      </c>
      <c r="C18" s="102">
        <f>C59</f>
        <v>99</v>
      </c>
    </row>
    <row r="19" spans="1:3" s="100" customFormat="1">
      <c r="A19" s="102" t="s">
        <v>280</v>
      </c>
      <c r="B19" s="103" t="s">
        <v>428</v>
      </c>
      <c r="C19" s="103">
        <v>0</v>
      </c>
    </row>
    <row r="20" spans="1:3" s="100" customFormat="1" ht="15" customHeight="1">
      <c r="A20" s="102" t="s">
        <v>226</v>
      </c>
      <c r="B20" s="102" t="s">
        <v>227</v>
      </c>
      <c r="C20" s="103">
        <v>18.399999999999999</v>
      </c>
    </row>
    <row r="21" spans="1:3" s="100" customFormat="1">
      <c r="A21" s="102" t="s">
        <v>228</v>
      </c>
      <c r="B21" s="102" t="s">
        <v>229</v>
      </c>
      <c r="C21" s="103">
        <v>0</v>
      </c>
    </row>
    <row r="22" spans="1:3" s="100" customFormat="1" hidden="1">
      <c r="A22" s="102"/>
      <c r="B22" s="102"/>
      <c r="C22" s="102"/>
    </row>
    <row r="23" spans="1:3" s="100" customFormat="1" hidden="1">
      <c r="A23" s="108" t="s">
        <v>906</v>
      </c>
      <c r="B23" s="108" t="s">
        <v>373</v>
      </c>
      <c r="C23" s="108">
        <v>37647</v>
      </c>
    </row>
    <row r="24" spans="1:3" s="100" customFormat="1" ht="27" hidden="1">
      <c r="A24" s="108" t="s">
        <v>907</v>
      </c>
      <c r="B24" s="108" t="s">
        <v>908</v>
      </c>
      <c r="C24" s="108">
        <v>720</v>
      </c>
    </row>
    <row r="25" spans="1:3" s="100" customFormat="1" hidden="1">
      <c r="A25" s="108" t="s">
        <v>909</v>
      </c>
      <c r="B25" s="108" t="s">
        <v>396</v>
      </c>
      <c r="C25" s="108">
        <f>ROUNDUP(C24*(1000000/C23),0)</f>
        <v>19126</v>
      </c>
    </row>
    <row r="26" spans="1:3" s="100" customFormat="1" hidden="1">
      <c r="A26" s="108" t="s">
        <v>910</v>
      </c>
      <c r="B26" s="108" t="s">
        <v>911</v>
      </c>
      <c r="C26" s="108">
        <v>42</v>
      </c>
    </row>
    <row r="27" spans="1:3" s="100" customFormat="1" ht="40.5" hidden="1">
      <c r="A27" s="108" t="s">
        <v>912</v>
      </c>
      <c r="B27" s="108" t="s">
        <v>913</v>
      </c>
      <c r="C27" s="108">
        <v>28</v>
      </c>
    </row>
    <row r="28" spans="1:3" s="100" customFormat="1" ht="54" hidden="1">
      <c r="A28" s="108" t="s">
        <v>914</v>
      </c>
      <c r="B28" s="108" t="s">
        <v>915</v>
      </c>
      <c r="C28" s="108">
        <v>7</v>
      </c>
    </row>
    <row r="29" spans="1:3" s="100" customFormat="1" hidden="1">
      <c r="A29" s="108" t="s">
        <v>916</v>
      </c>
      <c r="B29" s="108" t="s">
        <v>916</v>
      </c>
      <c r="C29" s="108">
        <v>8</v>
      </c>
    </row>
    <row r="30" spans="1:3" s="100" customFormat="1" ht="27" hidden="1">
      <c r="A30" s="108" t="s">
        <v>917</v>
      </c>
      <c r="B30" s="108" t="s">
        <v>918</v>
      </c>
      <c r="C30" s="108">
        <v>2000</v>
      </c>
    </row>
    <row r="31" spans="1:3" s="100" customFormat="1" hidden="1">
      <c r="A31" s="108" t="s">
        <v>919</v>
      </c>
      <c r="B31" s="108" t="s">
        <v>920</v>
      </c>
      <c r="C31" s="108">
        <v>1200</v>
      </c>
    </row>
    <row r="32" spans="1:3" s="100" customFormat="1" hidden="1">
      <c r="A32" s="108" t="s">
        <v>921</v>
      </c>
      <c r="B32" s="108" t="s">
        <v>922</v>
      </c>
      <c r="C32" s="108">
        <v>320</v>
      </c>
    </row>
    <row r="33" spans="1:3" s="100" customFormat="1" hidden="1">
      <c r="A33" s="108" t="s">
        <v>923</v>
      </c>
      <c r="B33" s="102"/>
      <c r="C33" s="109">
        <v>16</v>
      </c>
    </row>
    <row r="34" spans="1:3" s="100" customFormat="1" hidden="1">
      <c r="A34" s="108" t="s">
        <v>237</v>
      </c>
      <c r="B34" s="109"/>
      <c r="C34" s="109">
        <f>C27+MAX(MAX(C5,C32)+C26-C27,2+C28)</f>
        <v>2106</v>
      </c>
    </row>
    <row r="35" spans="1:3" s="100" customFormat="1" hidden="1">
      <c r="A35" s="108" t="s">
        <v>250</v>
      </c>
      <c r="B35" s="109"/>
      <c r="C35" s="109">
        <f>ROUNDDOWN(1000000000/C20/C25,0)*C21</f>
        <v>0</v>
      </c>
    </row>
    <row r="36" spans="1:3" s="100" customFormat="1" hidden="1">
      <c r="A36" s="108" t="s">
        <v>240</v>
      </c>
      <c r="B36" s="109"/>
      <c r="C36" s="109">
        <f>ROUNDUP(C10*1000/C25,0)+C29</f>
        <v>2623</v>
      </c>
    </row>
    <row r="37" spans="1:3" s="100" customFormat="1" hidden="1">
      <c r="A37" s="108" t="s">
        <v>413</v>
      </c>
      <c r="B37" s="109"/>
      <c r="C37" s="109">
        <f>C34+C36+ROUNDUP(C11*1000/C25,0)+C33*2</f>
        <v>4761</v>
      </c>
    </row>
    <row r="38" spans="1:3" s="100" customFormat="1" hidden="1">
      <c r="A38" s="108"/>
      <c r="B38" s="109"/>
      <c r="C38" s="109"/>
    </row>
    <row r="39" spans="1:3" s="100" customFormat="1" hidden="1">
      <c r="A39" s="108" t="s">
        <v>779</v>
      </c>
      <c r="B39" s="109"/>
      <c r="C39" s="109">
        <v>0</v>
      </c>
    </row>
    <row r="40" spans="1:3" s="100" customFormat="1" hidden="1">
      <c r="A40" s="108" t="s">
        <v>242</v>
      </c>
      <c r="B40" s="109"/>
      <c r="C40" s="109">
        <f>C4*C5*IF(C12=8,1,2)+C39*32</f>
        <v>6373632</v>
      </c>
    </row>
    <row r="41" spans="1:3" s="100" customFormat="1" hidden="1">
      <c r="A41" s="108" t="s">
        <v>346</v>
      </c>
      <c r="B41" s="109"/>
      <c r="C41" s="109">
        <f>INT(C40/(C13-36))</f>
        <v>4353</v>
      </c>
    </row>
    <row r="42" spans="1:3" s="100" customFormat="1" hidden="1">
      <c r="A42" s="108" t="s">
        <v>244</v>
      </c>
      <c r="B42" s="109"/>
      <c r="C42" s="109">
        <f>IF((C40-(C13-36)*C41)&lt;64,64,(C40-(C13-36)*C41))</f>
        <v>840</v>
      </c>
    </row>
    <row r="43" spans="1:3" s="100" customFormat="1" hidden="1">
      <c r="A43" s="108" t="s">
        <v>245</v>
      </c>
      <c r="B43" s="109"/>
      <c r="C43" s="109">
        <f>IF(C42=0,0,1)</f>
        <v>1</v>
      </c>
    </row>
    <row r="44" spans="1:3" s="100" customFormat="1" hidden="1">
      <c r="A44" s="108" t="s">
        <v>332</v>
      </c>
      <c r="B44" s="109"/>
      <c r="C44" s="109">
        <f>IF(C39=0,36,12)</f>
        <v>36</v>
      </c>
    </row>
    <row r="45" spans="1:3" s="100" customFormat="1" ht="40.5" hidden="1">
      <c r="A45" s="108" t="s">
        <v>246</v>
      </c>
      <c r="B45" s="109"/>
      <c r="C45" s="109">
        <f>C41*(C13+26)+C43*(C42+26+36)</f>
        <v>6643580</v>
      </c>
    </row>
    <row r="46" spans="1:3" s="100" customFormat="1" hidden="1">
      <c r="A46" s="108" t="s">
        <v>247</v>
      </c>
      <c r="B46" s="109"/>
      <c r="C46" s="109">
        <f>(2+C43+C41)*(C14+12)</f>
        <v>52272</v>
      </c>
    </row>
    <row r="47" spans="1:3" s="100" customFormat="1" hidden="1">
      <c r="A47" s="108" t="s">
        <v>248</v>
      </c>
      <c r="B47" s="109"/>
      <c r="C47" s="109">
        <f>C45+C46+170-24*C39</f>
        <v>6696022</v>
      </c>
    </row>
    <row r="48" spans="1:3" s="100" customFormat="1" hidden="1">
      <c r="A48" s="108" t="s">
        <v>360</v>
      </c>
      <c r="B48" s="109"/>
      <c r="C48" s="109">
        <f>INT(IF(C19=0,C16*(100-C17)/80,C16*100/80))</f>
        <v>1125</v>
      </c>
    </row>
    <row r="49" spans="1:4" s="100" customFormat="1" ht="27" hidden="1">
      <c r="A49" s="108" t="s">
        <v>362</v>
      </c>
      <c r="B49" s="109"/>
      <c r="C49" s="109">
        <f>ROUNDUP(C47/C48*10*1000/C25,0)</f>
        <v>3113</v>
      </c>
    </row>
    <row r="50" spans="1:4" s="100" customFormat="1" ht="27" hidden="1">
      <c r="A50" s="108" t="s">
        <v>364</v>
      </c>
      <c r="B50" s="109"/>
      <c r="C50" s="109">
        <f>ROUNDUP((C40+C44+10)*10*1000/C31/C25,0)</f>
        <v>2778</v>
      </c>
    </row>
    <row r="51" spans="1:4" s="100" customFormat="1" hidden="1">
      <c r="A51" s="108" t="s">
        <v>417</v>
      </c>
      <c r="B51" s="109"/>
      <c r="C51" s="109">
        <f>MAX(C49,C50)</f>
        <v>3113</v>
      </c>
    </row>
    <row r="52" spans="1:4" s="100" customFormat="1" hidden="1">
      <c r="A52" s="108"/>
      <c r="B52" s="109"/>
      <c r="C52" s="109"/>
    </row>
    <row r="53" spans="1:4" s="100" customFormat="1" hidden="1">
      <c r="A53" s="109"/>
      <c r="B53" s="109"/>
      <c r="C53" s="109"/>
    </row>
    <row r="54" spans="1:4" s="100" customFormat="1" hidden="1">
      <c r="A54" s="109" t="s">
        <v>253</v>
      </c>
      <c r="B54" s="109"/>
      <c r="C54" s="109">
        <f>12500*C16*(100-C17)</f>
        <v>1125000000</v>
      </c>
    </row>
    <row r="55" spans="1:4" s="100" customFormat="1" hidden="1">
      <c r="A55" s="109" t="s">
        <v>254</v>
      </c>
      <c r="B55" s="109"/>
      <c r="C55" s="109">
        <f>IF((ROUNDDOWN((C54-(62+C13-36)*C41-62-C42-168+C39*24)/(C41+3),0)-12)&gt;C56,C56,ROUNDDOWN((C54-(62+C13-36)*C41-62-C42-168+C39*24)/(C41+3),0)-12)</f>
        <v>180000</v>
      </c>
    </row>
    <row r="56" spans="1:4" s="100" customFormat="1" hidden="1">
      <c r="A56" s="110" t="s">
        <v>255</v>
      </c>
      <c r="B56" s="109"/>
      <c r="C56" s="109">
        <f>IF(C16=1000,180000,18000)</f>
        <v>180000</v>
      </c>
    </row>
    <row r="57" spans="1:4" s="100" customFormat="1" hidden="1">
      <c r="A57" s="109" t="s">
        <v>256</v>
      </c>
      <c r="B57" s="109"/>
      <c r="C57" s="109">
        <f>((62+(C13-36))*C41+62+C42+168)+(C14+12)*(C41+3)</f>
        <v>6696020</v>
      </c>
    </row>
    <row r="58" spans="1:4" s="100" customFormat="1" hidden="1">
      <c r="A58" s="109" t="s">
        <v>253</v>
      </c>
      <c r="B58" s="109"/>
      <c r="C58" s="109">
        <f>125000*C16</f>
        <v>125000000</v>
      </c>
    </row>
    <row r="59" spans="1:4" s="100" customFormat="1" hidden="1">
      <c r="A59" s="109" t="s">
        <v>257</v>
      </c>
      <c r="B59" s="109"/>
      <c r="C59" s="109">
        <f>IF((100-ROUNDDOWN(C57*10/(1250000*C16/10),0)-1)&lt;0,0,(100-ROUNDDOWN(C57*10/(1250000*C16/10),0)-1))</f>
        <v>99</v>
      </c>
    </row>
    <row r="60" spans="1:4" s="100" customFormat="1" hidden="1">
      <c r="A60" s="109"/>
      <c r="B60" s="109"/>
      <c r="C60" s="109"/>
    </row>
    <row r="61" spans="1:4" s="100" customFormat="1" hidden="1">
      <c r="A61" s="111"/>
      <c r="B61" s="109"/>
      <c r="C61" s="109"/>
    </row>
    <row r="62" spans="1:4" s="100" customFormat="1" hidden="1">
      <c r="A62" s="112" t="s">
        <v>785</v>
      </c>
      <c r="B62" s="109"/>
      <c r="C62" s="113" t="str">
        <f>"0x"&amp;DEC2HEX(C24)</f>
        <v>0x2D0</v>
      </c>
      <c r="D62" s="100" t="s">
        <v>924</v>
      </c>
    </row>
    <row r="63" spans="1:4" s="100" customFormat="1" hidden="1">
      <c r="A63" s="108" t="s">
        <v>239</v>
      </c>
      <c r="B63" s="109"/>
      <c r="C63" s="109">
        <f>0</f>
        <v>0</v>
      </c>
    </row>
    <row r="64" spans="1:4" s="100" customFormat="1" hidden="1">
      <c r="A64" s="108" t="s">
        <v>238</v>
      </c>
      <c r="B64" s="109"/>
      <c r="C64" s="113" t="str">
        <f>"0x"&amp;DEC2HEX(ROUNDUP(C10*1000/C25,0))</f>
        <v>0xA37</v>
      </c>
      <c r="D64" s="100" t="s">
        <v>925</v>
      </c>
    </row>
    <row r="65" spans="1:4" s="100" customFormat="1" hidden="1">
      <c r="A65" s="108" t="s">
        <v>926</v>
      </c>
      <c r="B65" s="109"/>
      <c r="C65" s="113" t="str">
        <f>"0x"&amp;DEC2HEX(C67)</f>
        <v>0xC29</v>
      </c>
      <c r="D65" s="100" t="s">
        <v>927</v>
      </c>
    </row>
    <row r="66" spans="1:4" s="100" customFormat="1" hidden="1">
      <c r="A66" s="108"/>
      <c r="B66" s="109"/>
      <c r="C66" s="113"/>
    </row>
    <row r="67" spans="1:4" s="100" customFormat="1" hidden="1">
      <c r="A67" s="109" t="s">
        <v>928</v>
      </c>
      <c r="B67" s="109"/>
      <c r="C67" s="109">
        <f>IF(C19=0,MAX(C34,C35,C36,C51),MAX(C35,C37,C51))</f>
        <v>3113</v>
      </c>
    </row>
    <row r="68" spans="1:4" s="100" customFormat="1" hidden="1">
      <c r="A68" s="109" t="s">
        <v>929</v>
      </c>
      <c r="B68" s="109"/>
      <c r="C68" s="109">
        <f>ROUNDUP(C67*C25/(1000),0)</f>
        <v>59540</v>
      </c>
    </row>
    <row r="69" spans="1:4" s="100" customFormat="1" hidden="1">
      <c r="A69" s="109" t="s">
        <v>366</v>
      </c>
      <c r="B69" s="109"/>
      <c r="C69" s="109">
        <f>INT(INT(INT(INT(C4*INT(1000000000/C68)/10)*IF(C12=8,1,2)/10)*C5/10)*10/(100-C70))*10</f>
        <v>118938910</v>
      </c>
    </row>
    <row r="70" spans="1:4" s="100" customFormat="1" ht="15" hidden="1" customHeight="1">
      <c r="A70" s="109"/>
      <c r="B70" s="109"/>
      <c r="C70" s="109">
        <f>IF(C19=0,C17,0)</f>
        <v>10</v>
      </c>
    </row>
    <row r="71" spans="1:4" customFormat="1" hidden="1">
      <c r="A71" s="110" t="s">
        <v>262</v>
      </c>
      <c r="B71" s="110"/>
      <c r="C71" s="110">
        <f>ROUNDDOWN(3088/(4*C73),0)*4</f>
        <v>3088</v>
      </c>
    </row>
    <row r="72" spans="1:4" customFormat="1" hidden="1">
      <c r="A72" s="110" t="s">
        <v>263</v>
      </c>
      <c r="B72" s="110"/>
      <c r="C72" s="110">
        <f>ROUNDDOWN(2064/(2*C74),0)*2</f>
        <v>2064</v>
      </c>
    </row>
    <row r="73" spans="1:4" customFormat="1" hidden="1">
      <c r="A73" s="110" t="s">
        <v>264</v>
      </c>
      <c r="B73" s="110"/>
      <c r="C73" s="110">
        <f>IF(C6=1,C8,C6)</f>
        <v>1</v>
      </c>
    </row>
    <row r="74" spans="1:4" customFormat="1" hidden="1">
      <c r="A74" s="110" t="s">
        <v>265</v>
      </c>
      <c r="B74" s="110"/>
      <c r="C74" s="110">
        <f>IF(C7=1,C9,C7)</f>
        <v>1</v>
      </c>
    </row>
    <row r="75" spans="1:4" customFormat="1" hidden="1">
      <c r="A75" s="110" t="s">
        <v>266</v>
      </c>
      <c r="B75" s="110"/>
      <c r="C75" s="110">
        <f>ROUNDDOWN(C79/4,0)*4*C73</f>
        <v>3088</v>
      </c>
    </row>
    <row r="76" spans="1:4" customFormat="1" hidden="1">
      <c r="A76" s="110" t="s">
        <v>267</v>
      </c>
      <c r="B76" s="110"/>
      <c r="C76" s="110">
        <f>ROUNDDOWN(C80/2,0)*2*C74</f>
        <v>2064</v>
      </c>
    </row>
    <row r="77" spans="1:4" customFormat="1" hidden="1">
      <c r="A77" s="110" t="s">
        <v>268</v>
      </c>
      <c r="B77" s="110"/>
      <c r="C77" s="110">
        <f>ROUNDDOWN(C4/4,0)*4*C73</f>
        <v>3088</v>
      </c>
    </row>
    <row r="78" spans="1:4" customFormat="1" hidden="1">
      <c r="A78" s="110" t="s">
        <v>269</v>
      </c>
      <c r="B78" s="110"/>
      <c r="C78" s="110">
        <f>ROUNDDOWN(C5/2,0)*2*C74</f>
        <v>2064</v>
      </c>
    </row>
    <row r="79" spans="1:4" customFormat="1" hidden="1">
      <c r="A79" s="110" t="s">
        <v>270</v>
      </c>
      <c r="B79" s="110"/>
      <c r="C79" s="110">
        <f>ROUNDDOWN(C77/(4*C73),0)*4</f>
        <v>3088</v>
      </c>
    </row>
    <row r="80" spans="1:4" customFormat="1" hidden="1">
      <c r="A80" s="110" t="s">
        <v>271</v>
      </c>
      <c r="B80" s="110"/>
      <c r="C80" s="110">
        <f>ROUNDDOWN(C78/(2*C74),0)*2</f>
        <v>2064</v>
      </c>
    </row>
    <row r="81" spans="1:10" s="100" customFormat="1" ht="12.75" hidden="1" customHeight="1">
      <c r="A81" s="109"/>
      <c r="B81" s="109"/>
      <c r="C81" s="109"/>
    </row>
    <row r="82" spans="1:10" s="100" customFormat="1" ht="12.75" hidden="1" customHeight="1">
      <c r="A82" s="109"/>
      <c r="B82" s="109"/>
      <c r="C82" s="109"/>
    </row>
    <row r="83" spans="1:10" s="100" customFormat="1" ht="14.25" hidden="1">
      <c r="A83" s="114" t="s">
        <v>272</v>
      </c>
      <c r="B83" s="114"/>
      <c r="C83" s="114"/>
    </row>
    <row r="84" spans="1:10" s="100" customFormat="1" ht="14.25">
      <c r="A84" s="114" t="s">
        <v>252</v>
      </c>
      <c r="B84" s="114" t="s">
        <v>407</v>
      </c>
      <c r="C84" s="114">
        <f>ROUND(1000000/C68,2)</f>
        <v>16.8</v>
      </c>
      <c r="D84" s="106" t="str">
        <f>IF(J97=1,J93,"")</f>
        <v/>
      </c>
    </row>
    <row r="90" spans="1:10">
      <c r="J90" t="s">
        <v>418</v>
      </c>
    </row>
    <row r="91" spans="1:10">
      <c r="J91" s="115" t="s">
        <v>419</v>
      </c>
    </row>
    <row r="92" spans="1:10">
      <c r="J92" s="115" t="s">
        <v>427</v>
      </c>
    </row>
    <row r="93" spans="1:10">
      <c r="J93" t="s">
        <v>421</v>
      </c>
    </row>
    <row r="94" spans="1:10">
      <c r="J94" s="116"/>
    </row>
    <row r="95" spans="1:10">
      <c r="J95" s="116"/>
    </row>
    <row r="96" spans="1:10">
      <c r="J96" t="s">
        <v>422</v>
      </c>
    </row>
    <row r="97" spans="10:10">
      <c r="J97">
        <f>IF(OR(OR(C4&gt;C2,C4&lt;4),OR(C5&gt;C3,C5&lt;2)),1,0)</f>
        <v>0</v>
      </c>
    </row>
  </sheetData>
  <sheetProtection selectLockedCells="1"/>
  <phoneticPr fontId="37" type="noConversion"/>
  <dataValidations count="18">
    <dataValidation allowBlank="1" showErrorMessage="1" promptTitle="参数变化" prompt="该参数会根据当前生效的水平像素Binning、水平像素抽样变化" sqref="C2"/>
    <dataValidation type="whole" allowBlank="1" showInputMessage="1" showErrorMessage="1" error="The input range :[19,1000000]" sqref="C10">
      <formula1>19</formula1>
      <formula2>1000000</formula2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Input range:[8, 'WidthMax'],and is an integer multiple of 8" sqref="C4">
      <formula1>AND((C4&lt;=C2),(C4&gt;=8),(MOD(C4,8)=0))</formula1>
    </dataValidation>
    <dataValidation type="custom" allowBlank="1" showInputMessage="1" showErrorMessage="1" error="Input range:[2, 'HeightMax'],and is an integer multiple of 2" sqref="C5">
      <formula1>AND((C5&lt;=C3),(C5&gt;=2),(MOD(C5,2)=0))</formula1>
    </dataValidation>
    <dataValidation type="custom" allowBlank="1" showInputMessage="1" showErrorMessage="1" error="Please enter 1 or 2" sqref="C6 C7">
      <formula1>AND(OR((C6=1),(C6=2)),C8=1)</formula1>
    </dataValidation>
    <dataValidation type="whole" allowBlank="1" showInputMessage="1" showErrorMessage="1" error="The input range :[0,5000]" sqref="C11">
      <formula1>0</formula1>
      <formula2>5000</formula2>
    </dataValidation>
    <dataValidation type="custom" allowBlank="1" showInputMessage="1" showErrorMessage="1" error="Please enter 1 or 2" sqref="C8 C9">
      <formula1>AND(OR((C8=1),(C8=2)),C6=1)</formula1>
    </dataValidation>
    <dataValidation type="list" allowBlank="1" showInputMessage="1" showErrorMessage="1" error="Please enter 8 or 12" sqref="C12">
      <formula1>"8,12"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type="whole" allowBlank="1" showErrorMessage="1" error="设置值超过最大值" prompt="应在包间隔范围内" sqref="C15">
      <formula1>0</formula1>
      <formula2>C55</formula2>
    </dataValidation>
    <dataValidation type="custom" allowBlank="1" showInputMessage="1" showErrorMessage="1" error="Please enter 1000 or 100" sqref="C16">
      <formula1>OR((C16=1000),(C16=100))</formula1>
    </dataValidation>
    <dataValidation type="whole" allowBlank="1" showInputMessage="1" showErrorMessage="1" error="Set the value range [ 0,'BandwidthReserveMaxValue']" sqref="C17">
      <formula1>0</formula1>
      <formula2>C18</formula2>
    </dataValidation>
    <dataValidation type="whole" allowBlank="1" error="设置值超过包间隔范围" prompt="设置值应在预留带宽范围内" sqref="C18">
      <formula1>0</formula1>
      <formula2>C59</formula2>
    </dataValidation>
    <dataValidation type="list" allowBlank="1" showErrorMessage="1" error="Please enter a 0 or 1" prompt="应在包间隔范围内" sqref="C19">
      <formula1>"0,1"</formula1>
    </dataValidation>
    <dataValidation type="list" allowBlank="1" showErrorMessage="1" error="请输入0或者1" prompt="应在包间隔范围内" sqref="C21">
      <formula1>"0,1"</formula1>
    </dataValidation>
    <dataValidation type="custom" allowBlank="1" showErrorMessage="1" error="Set the value range :[ 0.1,10000.0], accurate to one decimal" prompt="应在包间隔范围内" sqref="C20">
      <formula1>AND(TRUNC(C20,1)=C20,(C20&gt;0.1),(C20&lt;=10000))</formula1>
    </dataValidation>
  </dataValidations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7"/>
  <sheetViews>
    <sheetView topLeftCell="B1" workbookViewId="0">
      <selection activeCell="E71" sqref="E71"/>
    </sheetView>
  </sheetViews>
  <sheetFormatPr defaultColWidth="9" defaultRowHeight="13.5"/>
  <cols>
    <col min="1" max="1" width="20.5" style="424" hidden="1" customWidth="1"/>
    <col min="2" max="2" width="23.125" style="424" customWidth="1"/>
    <col min="3" max="3" width="19" style="424" customWidth="1"/>
    <col min="4" max="5" width="10" style="424" customWidth="1"/>
    <col min="6" max="6" width="6.125" style="424" customWidth="1"/>
    <col min="7" max="7" width="15.125" style="424" customWidth="1"/>
    <col min="8" max="8" width="24.5" style="424" customWidth="1"/>
    <col min="9" max="9" width="28.625" style="424" customWidth="1"/>
    <col min="10" max="10" width="16.125" style="424" hidden="1" customWidth="1"/>
    <col min="11" max="11" width="7.5" style="424" hidden="1" customWidth="1"/>
    <col min="12" max="12" width="4.5" style="424" customWidth="1"/>
    <col min="13" max="13" width="19.625" style="424" customWidth="1"/>
    <col min="14" max="14" width="27.25" style="424" customWidth="1"/>
    <col min="15" max="15" width="29" style="424" customWidth="1"/>
    <col min="16" max="16" width="12.75" style="424" customWidth="1"/>
    <col min="17" max="17" width="9.625" style="424" customWidth="1"/>
    <col min="18" max="18" width="4.875" style="424" customWidth="1"/>
    <col min="19" max="19" width="17" style="424" customWidth="1"/>
    <col min="20" max="21" width="15.625" style="424" customWidth="1"/>
    <col min="22" max="22" width="15.75" style="424" customWidth="1"/>
    <col min="23" max="23" width="16.375" style="424" customWidth="1"/>
    <col min="24" max="24" width="18.875" style="424" customWidth="1"/>
    <col min="25" max="25" width="14.875" style="424" customWidth="1"/>
    <col min="26" max="26" width="15.25" style="424" customWidth="1"/>
    <col min="27" max="27" width="20.5" style="424" customWidth="1"/>
    <col min="28" max="28" width="22" style="424" customWidth="1"/>
    <col min="29" max="29" width="21.625" style="424" customWidth="1"/>
    <col min="30" max="30" width="20.625" style="424" customWidth="1"/>
    <col min="31" max="31" width="10" style="424" customWidth="1"/>
    <col min="32" max="32" width="9.75" style="424" customWidth="1"/>
    <col min="33" max="33" width="13.25" style="424" customWidth="1"/>
    <col min="34" max="34" width="13.875" style="424" customWidth="1"/>
    <col min="35" max="35" width="12.5" style="424" customWidth="1"/>
    <col min="36" max="36" width="23.875" style="424" customWidth="1"/>
    <col min="37" max="37" width="22.125" style="424" customWidth="1"/>
    <col min="38" max="39" width="17.5" style="424" customWidth="1"/>
    <col min="40" max="40" width="23.5" style="424" customWidth="1"/>
    <col min="41" max="16384" width="9" style="424"/>
  </cols>
  <sheetData>
    <row r="1" spans="1:10">
      <c r="A1" s="121" t="s">
        <v>197</v>
      </c>
      <c r="B1" s="121"/>
      <c r="C1" s="122"/>
      <c r="D1" s="116"/>
      <c r="E1" s="116"/>
      <c r="F1" s="116"/>
      <c r="G1" s="116"/>
      <c r="H1" s="116"/>
      <c r="I1" s="116"/>
      <c r="J1" s="116"/>
    </row>
    <row r="2" spans="1:10">
      <c r="A2" s="121" t="s">
        <v>198</v>
      </c>
      <c r="B2" s="121" t="s">
        <v>199</v>
      </c>
      <c r="C2" s="104">
        <f>C55</f>
        <v>3840</v>
      </c>
      <c r="D2" s="116"/>
      <c r="E2" s="116"/>
      <c r="F2" s="116"/>
      <c r="G2" s="116"/>
      <c r="H2" s="116"/>
      <c r="I2" s="116"/>
      <c r="J2" s="116"/>
    </row>
    <row r="3" spans="1:10">
      <c r="A3" s="121" t="s">
        <v>200</v>
      </c>
      <c r="B3" s="121" t="s">
        <v>201</v>
      </c>
      <c r="C3" s="104">
        <f>C56</f>
        <v>2748</v>
      </c>
      <c r="D3" s="116"/>
      <c r="E3" s="116"/>
      <c r="F3" s="116"/>
      <c r="G3" s="116"/>
      <c r="H3" s="116"/>
      <c r="I3" s="116"/>
      <c r="J3" s="116"/>
    </row>
    <row r="4" spans="1:10">
      <c r="A4" s="121" t="s">
        <v>202</v>
      </c>
      <c r="B4" s="121" t="s">
        <v>203</v>
      </c>
      <c r="C4" s="425">
        <v>3840</v>
      </c>
      <c r="D4" s="123" t="str">
        <f>IF(OR(C4&gt;C2,C4&lt;8),J75,"")</f>
        <v/>
      </c>
      <c r="E4" s="116"/>
      <c r="F4" s="116"/>
      <c r="G4" s="116"/>
      <c r="H4" s="116"/>
      <c r="I4" s="116"/>
      <c r="J4" s="116"/>
    </row>
    <row r="5" spans="1:10">
      <c r="A5" s="121" t="s">
        <v>204</v>
      </c>
      <c r="B5" s="121" t="s">
        <v>205</v>
      </c>
      <c r="C5" s="425">
        <v>2748</v>
      </c>
      <c r="D5" s="123" t="str">
        <f>IF(OR(C5&gt;C3,C5&lt;2),J76,"")</f>
        <v/>
      </c>
      <c r="E5" s="116"/>
      <c r="F5" s="116"/>
      <c r="G5" s="116"/>
      <c r="H5" s="116"/>
      <c r="I5" s="116"/>
      <c r="J5" s="116"/>
    </row>
    <row r="6" spans="1:10">
      <c r="A6" s="121" t="s">
        <v>206</v>
      </c>
      <c r="B6" s="121" t="s">
        <v>207</v>
      </c>
      <c r="C6" s="107">
        <v>1</v>
      </c>
      <c r="D6" s="116"/>
      <c r="E6" s="116"/>
      <c r="F6" s="116"/>
      <c r="G6" s="116"/>
      <c r="H6" s="116"/>
      <c r="I6" s="116"/>
      <c r="J6" s="116"/>
    </row>
    <row r="7" spans="1:10">
      <c r="A7" s="121" t="s">
        <v>208</v>
      </c>
      <c r="B7" s="121" t="s">
        <v>209</v>
      </c>
      <c r="C7" s="107">
        <v>1</v>
      </c>
      <c r="D7" s="116"/>
      <c r="E7" s="116"/>
      <c r="F7" s="116"/>
      <c r="G7" s="116"/>
      <c r="H7" s="116"/>
      <c r="I7" s="116"/>
      <c r="J7" s="116"/>
    </row>
    <row r="8" spans="1:10">
      <c r="A8" s="121" t="s">
        <v>210</v>
      </c>
      <c r="B8" s="121" t="s">
        <v>211</v>
      </c>
      <c r="C8" s="107">
        <v>1</v>
      </c>
      <c r="D8" s="116"/>
      <c r="E8" s="116"/>
      <c r="F8" s="116"/>
      <c r="G8" s="116"/>
      <c r="H8" s="116"/>
      <c r="I8" s="116"/>
      <c r="J8" s="116"/>
    </row>
    <row r="9" spans="1:10">
      <c r="A9" s="121" t="s">
        <v>212</v>
      </c>
      <c r="B9" s="121" t="s">
        <v>213</v>
      </c>
      <c r="C9" s="107">
        <v>1</v>
      </c>
      <c r="D9" s="116"/>
      <c r="E9" s="116"/>
      <c r="F9" s="116"/>
      <c r="G9" s="116"/>
      <c r="H9" s="116"/>
      <c r="I9" s="116"/>
      <c r="J9" s="116"/>
    </row>
    <row r="10" spans="1:10">
      <c r="A10" s="121" t="s">
        <v>214</v>
      </c>
      <c r="B10" s="121" t="s">
        <v>215</v>
      </c>
      <c r="C10" s="425">
        <v>60000</v>
      </c>
      <c r="D10" s="116"/>
      <c r="E10" s="116"/>
      <c r="F10" s="116"/>
      <c r="G10" s="116"/>
      <c r="H10" s="116"/>
      <c r="I10" s="116"/>
      <c r="J10" s="116"/>
    </row>
    <row r="11" spans="1:10">
      <c r="A11" s="121" t="s">
        <v>216</v>
      </c>
      <c r="B11" s="121" t="s">
        <v>217</v>
      </c>
      <c r="C11" s="122">
        <v>0</v>
      </c>
      <c r="D11" s="116"/>
      <c r="E11" s="116"/>
      <c r="F11" s="116"/>
      <c r="G11" s="116"/>
      <c r="H11" s="116"/>
      <c r="I11" s="116"/>
      <c r="J11" s="116"/>
    </row>
    <row r="12" spans="1:10">
      <c r="A12" s="121" t="s">
        <v>218</v>
      </c>
      <c r="B12" s="121" t="s">
        <v>219</v>
      </c>
      <c r="C12" s="425">
        <v>8</v>
      </c>
      <c r="D12" s="116"/>
      <c r="E12" s="116"/>
      <c r="F12" s="116" t="s">
        <v>930</v>
      </c>
      <c r="G12" s="116"/>
      <c r="H12" s="116"/>
      <c r="I12" s="116"/>
      <c r="J12" s="116"/>
    </row>
    <row r="13" spans="1:10">
      <c r="A13" s="121" t="s">
        <v>220</v>
      </c>
      <c r="B13" s="121" t="s">
        <v>221</v>
      </c>
      <c r="C13" s="425">
        <v>1500</v>
      </c>
      <c r="D13" s="116"/>
      <c r="E13" s="116"/>
      <c r="F13" s="116"/>
      <c r="G13" s="116"/>
      <c r="H13" s="116"/>
      <c r="I13" s="116"/>
      <c r="J13" s="116"/>
    </row>
    <row r="14" spans="1:10">
      <c r="A14" s="121" t="s">
        <v>222</v>
      </c>
      <c r="B14" s="121" t="s">
        <v>223</v>
      </c>
      <c r="C14" s="425">
        <v>0</v>
      </c>
      <c r="D14" s="116"/>
      <c r="E14" s="116"/>
      <c r="F14" s="116"/>
      <c r="G14" s="116"/>
      <c r="H14" s="116"/>
      <c r="I14" s="116"/>
      <c r="J14" s="116"/>
    </row>
    <row r="15" spans="1:10">
      <c r="A15" s="121" t="s">
        <v>224</v>
      </c>
      <c r="B15" s="121" t="s">
        <v>225</v>
      </c>
      <c r="C15" s="426">
        <f>J123</f>
        <v>29669</v>
      </c>
      <c r="D15" s="116"/>
      <c r="E15" s="116"/>
      <c r="F15" s="116"/>
      <c r="G15" s="116"/>
      <c r="H15" s="116"/>
      <c r="I15" s="116"/>
      <c r="J15" s="116"/>
    </row>
    <row r="16" spans="1:10">
      <c r="A16" s="121" t="s">
        <v>931</v>
      </c>
      <c r="B16" s="121" t="s">
        <v>227</v>
      </c>
      <c r="C16" s="425">
        <v>10.1</v>
      </c>
      <c r="D16" s="116"/>
      <c r="E16" s="116"/>
      <c r="F16" s="116"/>
      <c r="G16" s="116"/>
      <c r="H16" s="116"/>
      <c r="I16" s="116"/>
      <c r="J16" s="116"/>
    </row>
    <row r="17" spans="1:26">
      <c r="A17" s="121" t="s">
        <v>552</v>
      </c>
      <c r="B17" s="121" t="s">
        <v>229</v>
      </c>
      <c r="C17" s="425">
        <v>0</v>
      </c>
      <c r="D17" s="116"/>
      <c r="E17" s="116"/>
      <c r="F17" s="116"/>
      <c r="G17" s="116"/>
      <c r="H17" s="116"/>
      <c r="I17" s="116"/>
      <c r="J17" s="116"/>
    </row>
    <row r="18" spans="1:26">
      <c r="A18" s="121" t="s">
        <v>230</v>
      </c>
      <c r="B18" s="121" t="s">
        <v>231</v>
      </c>
      <c r="C18" s="425">
        <v>1000</v>
      </c>
      <c r="D18" s="116"/>
      <c r="E18" s="116"/>
      <c r="F18" s="116"/>
      <c r="G18" s="116"/>
      <c r="H18" s="116"/>
      <c r="I18" s="116"/>
      <c r="J18" s="116"/>
    </row>
    <row r="19" spans="1:26">
      <c r="A19" s="121" t="s">
        <v>232</v>
      </c>
      <c r="B19" s="121" t="s">
        <v>233</v>
      </c>
      <c r="C19" s="425">
        <v>10</v>
      </c>
      <c r="D19" s="116"/>
      <c r="E19" s="116"/>
      <c r="F19" s="116"/>
      <c r="G19" s="116"/>
      <c r="H19" s="116"/>
      <c r="I19" s="116"/>
      <c r="J19" s="116"/>
      <c r="Z19" s="432"/>
    </row>
    <row r="20" spans="1:26">
      <c r="A20" s="121" t="s">
        <v>234</v>
      </c>
      <c r="B20" s="121" t="s">
        <v>235</v>
      </c>
      <c r="C20" s="426">
        <f>J125</f>
        <v>95</v>
      </c>
      <c r="D20" s="116"/>
      <c r="E20" s="116"/>
      <c r="F20" s="116"/>
      <c r="G20" s="116"/>
      <c r="H20" s="116"/>
      <c r="I20" s="116"/>
      <c r="J20" s="116"/>
      <c r="Z20" s="432"/>
    </row>
    <row r="21" spans="1:26">
      <c r="A21" s="121" t="s">
        <v>280</v>
      </c>
      <c r="B21" s="121" t="s">
        <v>281</v>
      </c>
      <c r="C21" s="425">
        <v>0</v>
      </c>
      <c r="D21" s="116"/>
      <c r="E21" s="116"/>
      <c r="F21" s="116"/>
      <c r="G21" s="116"/>
      <c r="H21" s="116"/>
      <c r="I21" s="116"/>
      <c r="J21" s="116"/>
    </row>
    <row r="22" spans="1:26">
      <c r="A22" s="124"/>
      <c r="B22" s="121"/>
      <c r="C22" s="121"/>
      <c r="D22" s="116"/>
      <c r="E22" s="116"/>
      <c r="F22" s="116"/>
      <c r="G22" s="116"/>
      <c r="H22" s="116"/>
      <c r="I22" s="116"/>
      <c r="J22" s="116"/>
      <c r="Y22" s="432"/>
    </row>
    <row r="23" spans="1:26" hidden="1">
      <c r="A23" s="124" t="s">
        <v>259</v>
      </c>
      <c r="B23" s="121"/>
      <c r="C23" s="125"/>
      <c r="D23" s="116"/>
      <c r="E23" s="116"/>
      <c r="F23" s="116"/>
      <c r="G23" s="116"/>
      <c r="H23" s="116"/>
      <c r="I23" s="116"/>
      <c r="J23" s="116"/>
      <c r="Y23" s="432"/>
    </row>
    <row r="24" spans="1:26" hidden="1">
      <c r="A24" s="124" t="s">
        <v>236</v>
      </c>
      <c r="B24" s="121"/>
      <c r="C24" s="126"/>
      <c r="D24" s="116"/>
      <c r="E24" s="116"/>
      <c r="F24" s="116"/>
      <c r="G24" s="116"/>
      <c r="H24" s="116"/>
      <c r="I24" s="116"/>
      <c r="J24" s="116"/>
      <c r="Y24" s="432"/>
    </row>
    <row r="25" spans="1:26" hidden="1">
      <c r="A25" s="124" t="s">
        <v>237</v>
      </c>
      <c r="B25" s="126"/>
      <c r="C25" s="126"/>
      <c r="D25" s="116"/>
      <c r="E25" s="116"/>
      <c r="F25" s="116"/>
      <c r="G25" s="116"/>
      <c r="H25" s="116"/>
      <c r="I25" s="116"/>
      <c r="J25" s="116"/>
      <c r="Y25" s="432"/>
    </row>
    <row r="26" spans="1:26" hidden="1">
      <c r="A26" s="124" t="s">
        <v>238</v>
      </c>
      <c r="B26" s="126"/>
      <c r="C26" s="126"/>
      <c r="D26" s="116"/>
      <c r="E26" s="116"/>
      <c r="F26" s="116"/>
      <c r="G26" s="116"/>
      <c r="H26" s="116"/>
      <c r="I26" s="116"/>
      <c r="J26" s="116"/>
      <c r="Y26" s="432"/>
    </row>
    <row r="27" spans="1:26" hidden="1">
      <c r="A27" s="124" t="s">
        <v>239</v>
      </c>
      <c r="B27" s="126"/>
      <c r="C27" s="126"/>
      <c r="D27" s="116"/>
      <c r="E27" s="116"/>
      <c r="F27" s="116"/>
      <c r="G27" s="116"/>
      <c r="H27" s="116"/>
      <c r="I27" s="116"/>
      <c r="J27" s="116"/>
      <c r="Y27" s="432"/>
    </row>
    <row r="28" spans="1:26" hidden="1">
      <c r="A28" s="124" t="s">
        <v>240</v>
      </c>
      <c r="B28" s="126"/>
      <c r="C28" s="126"/>
      <c r="D28" s="116"/>
      <c r="E28" s="116"/>
      <c r="F28" s="116"/>
      <c r="G28" s="116"/>
      <c r="H28" s="116"/>
      <c r="I28" s="116"/>
      <c r="J28" s="116"/>
      <c r="Y28" s="432"/>
    </row>
    <row r="29" spans="1:26" hidden="1">
      <c r="A29" s="124" t="s">
        <v>313</v>
      </c>
      <c r="B29" s="126"/>
      <c r="C29" s="126"/>
      <c r="D29" s="116"/>
      <c r="E29" s="116"/>
      <c r="F29" s="116"/>
      <c r="G29" s="116"/>
      <c r="H29" s="116"/>
      <c r="I29" s="116"/>
      <c r="J29" s="116"/>
    </row>
    <row r="30" spans="1:26" hidden="1">
      <c r="A30" s="124" t="s">
        <v>241</v>
      </c>
      <c r="B30" s="126"/>
      <c r="C30" s="126"/>
      <c r="D30" s="116"/>
      <c r="E30" s="116"/>
      <c r="F30" s="116"/>
      <c r="G30" s="116"/>
      <c r="H30" s="116"/>
      <c r="I30" s="116"/>
      <c r="J30" s="116"/>
      <c r="Z30" s="432"/>
    </row>
    <row r="31" spans="1:26" hidden="1">
      <c r="A31" s="124" t="s">
        <v>242</v>
      </c>
      <c r="B31" s="126"/>
      <c r="C31" s="127"/>
      <c r="D31" s="116"/>
      <c r="E31" s="116"/>
      <c r="F31" s="116"/>
      <c r="G31" s="116"/>
      <c r="H31" s="116"/>
      <c r="I31" s="116"/>
      <c r="J31" s="116"/>
      <c r="Z31" s="432"/>
    </row>
    <row r="32" spans="1:26" hidden="1">
      <c r="A32" s="124" t="s">
        <v>243</v>
      </c>
      <c r="B32" s="126"/>
      <c r="C32" s="126"/>
      <c r="D32" s="116"/>
      <c r="E32" s="116"/>
      <c r="F32" s="116"/>
      <c r="G32" s="116"/>
      <c r="H32" s="116"/>
      <c r="I32" s="116"/>
      <c r="J32" s="116"/>
      <c r="Z32" s="432"/>
    </row>
    <row r="33" spans="1:26" hidden="1">
      <c r="A33" s="124" t="s">
        <v>332</v>
      </c>
      <c r="B33" s="126"/>
      <c r="C33" s="126"/>
      <c r="D33" s="116"/>
      <c r="E33" s="116"/>
      <c r="F33" s="116"/>
      <c r="G33" s="116"/>
      <c r="H33" s="116"/>
      <c r="I33" s="116"/>
      <c r="J33" s="116"/>
      <c r="Z33" s="432"/>
    </row>
    <row r="34" spans="1:26" hidden="1">
      <c r="A34" s="124" t="s">
        <v>244</v>
      </c>
      <c r="B34" s="126"/>
      <c r="C34" s="126"/>
      <c r="D34" s="116"/>
      <c r="E34" s="116"/>
      <c r="F34" s="116"/>
      <c r="G34" s="116"/>
      <c r="H34" s="116"/>
      <c r="I34" s="116"/>
      <c r="J34" s="116"/>
      <c r="Z34" s="432"/>
    </row>
    <row r="35" spans="1:26" hidden="1">
      <c r="A35" s="126" t="s">
        <v>249</v>
      </c>
      <c r="B35" s="126"/>
      <c r="C35" s="126"/>
      <c r="D35" s="116"/>
      <c r="E35" s="116"/>
      <c r="F35" s="116"/>
      <c r="G35" s="116"/>
      <c r="H35" s="116"/>
      <c r="I35" s="116"/>
      <c r="J35" s="116"/>
      <c r="Z35" s="432"/>
    </row>
    <row r="36" spans="1:26" hidden="1">
      <c r="A36" s="128" t="s">
        <v>364</v>
      </c>
      <c r="B36" s="128"/>
      <c r="C36" s="128"/>
      <c r="D36" s="116"/>
      <c r="E36" s="116"/>
      <c r="F36" s="116"/>
      <c r="G36" s="116"/>
      <c r="H36" s="116"/>
      <c r="I36" s="116"/>
      <c r="J36" s="116"/>
    </row>
    <row r="37" spans="1:26" hidden="1">
      <c r="A37" s="128" t="s">
        <v>417</v>
      </c>
      <c r="B37" s="128"/>
      <c r="C37" s="128"/>
      <c r="D37" s="116"/>
      <c r="E37" s="116"/>
      <c r="F37" s="116"/>
      <c r="G37" s="116"/>
      <c r="H37" s="116"/>
      <c r="I37" s="116"/>
      <c r="J37" s="116"/>
    </row>
    <row r="38" spans="1:26" hidden="1">
      <c r="A38" s="126" t="s">
        <v>360</v>
      </c>
      <c r="B38" s="126"/>
      <c r="C38" s="126"/>
      <c r="D38" s="116"/>
      <c r="E38" s="116"/>
      <c r="F38" s="116"/>
      <c r="G38" s="116"/>
      <c r="H38" s="116"/>
      <c r="I38" s="116"/>
      <c r="J38" s="116"/>
    </row>
    <row r="39" spans="1:26" hidden="1">
      <c r="A39" s="125" t="s">
        <v>250</v>
      </c>
      <c r="B39" s="126"/>
      <c r="C39" s="126"/>
      <c r="D39" s="116"/>
      <c r="E39" s="116"/>
      <c r="F39" s="116"/>
      <c r="G39" s="116"/>
      <c r="H39" s="116"/>
      <c r="I39" s="116"/>
      <c r="J39" s="116"/>
    </row>
    <row r="40" spans="1:26" hidden="1">
      <c r="A40" s="427" t="s">
        <v>413</v>
      </c>
      <c r="B40" s="126"/>
      <c r="C40" s="126"/>
      <c r="D40" s="116"/>
      <c r="E40" s="116"/>
      <c r="F40" s="116"/>
      <c r="G40" s="116"/>
      <c r="H40" s="116"/>
      <c r="I40" s="116"/>
      <c r="J40" s="116"/>
    </row>
    <row r="41" spans="1:26" hidden="1">
      <c r="A41" s="126" t="s">
        <v>251</v>
      </c>
      <c r="B41" s="126"/>
      <c r="C41" s="129"/>
      <c r="D41" s="116"/>
      <c r="E41" s="116"/>
      <c r="F41" s="116"/>
      <c r="G41" s="116"/>
      <c r="H41" s="116"/>
      <c r="I41" s="116"/>
      <c r="J41" s="116"/>
    </row>
    <row r="42" spans="1:26" hidden="1">
      <c r="A42" s="126" t="s">
        <v>252</v>
      </c>
      <c r="B42" s="126"/>
      <c r="C42" s="126">
        <f>J105</f>
        <v>10.008807750820722</v>
      </c>
      <c r="D42" s="116"/>
      <c r="E42" s="116"/>
      <c r="F42" s="116"/>
      <c r="G42" s="116"/>
      <c r="H42" s="116"/>
      <c r="I42" s="116"/>
      <c r="J42" s="116"/>
    </row>
    <row r="43" spans="1:26" hidden="1">
      <c r="A43" s="427" t="s">
        <v>253</v>
      </c>
      <c r="B43" s="126"/>
      <c r="C43" s="126"/>
      <c r="D43" s="116"/>
      <c r="E43" s="116"/>
      <c r="F43" s="116"/>
      <c r="G43" s="116"/>
      <c r="H43" s="116"/>
      <c r="I43" s="116"/>
      <c r="J43" s="116"/>
    </row>
    <row r="44" spans="1:26" hidden="1">
      <c r="A44" s="126" t="s">
        <v>254</v>
      </c>
      <c r="B44" s="126"/>
      <c r="C44" s="126">
        <f>J123</f>
        <v>29669</v>
      </c>
      <c r="D44" s="116"/>
      <c r="E44" s="116"/>
      <c r="F44" s="116"/>
      <c r="G44" s="116"/>
      <c r="H44" s="116"/>
      <c r="I44" s="116"/>
      <c r="J44" s="116"/>
    </row>
    <row r="45" spans="1:26" hidden="1">
      <c r="A45" s="126" t="s">
        <v>255</v>
      </c>
      <c r="B45" s="126"/>
      <c r="C45" s="126"/>
      <c r="D45" s="116"/>
      <c r="E45" s="116"/>
      <c r="F45" s="116"/>
      <c r="G45" s="116"/>
      <c r="H45" s="116"/>
      <c r="I45" s="116"/>
      <c r="J45" s="116"/>
    </row>
    <row r="46" spans="1:26" hidden="1">
      <c r="A46" s="126" t="s">
        <v>256</v>
      </c>
      <c r="B46" s="126"/>
      <c r="C46" s="126"/>
      <c r="D46" s="116"/>
      <c r="E46" s="116"/>
      <c r="F46" s="116"/>
      <c r="G46" s="116"/>
      <c r="H46" s="116"/>
      <c r="I46" s="116"/>
      <c r="J46" s="116"/>
    </row>
    <row r="47" spans="1:26" hidden="1">
      <c r="A47" s="427" t="s">
        <v>253</v>
      </c>
      <c r="B47" s="126"/>
      <c r="C47" s="126"/>
      <c r="D47" s="116"/>
      <c r="E47" s="116"/>
      <c r="F47" s="116"/>
      <c r="G47" s="116"/>
      <c r="H47" s="116"/>
      <c r="I47" s="116"/>
      <c r="J47" s="116"/>
    </row>
    <row r="48" spans="1:26" hidden="1">
      <c r="A48" s="126" t="s">
        <v>257</v>
      </c>
      <c r="B48" s="126"/>
      <c r="C48" s="126">
        <f>J125</f>
        <v>95</v>
      </c>
      <c r="D48" s="116"/>
      <c r="E48" s="116"/>
      <c r="F48" s="116"/>
      <c r="G48" s="116"/>
      <c r="H48" s="116"/>
      <c r="I48" s="116"/>
      <c r="J48" s="116"/>
    </row>
    <row r="49" spans="1:23" hidden="1">
      <c r="A49" s="427" t="s">
        <v>258</v>
      </c>
      <c r="B49" s="126"/>
      <c r="C49" s="126"/>
      <c r="D49" s="116"/>
      <c r="E49" s="116"/>
      <c r="F49" s="116"/>
      <c r="G49" s="116"/>
      <c r="H49" s="116"/>
      <c r="I49" s="116"/>
      <c r="J49" s="116"/>
      <c r="S49" s="431"/>
      <c r="T49" s="432"/>
      <c r="U49" s="432"/>
      <c r="V49" s="432"/>
      <c r="W49" s="432"/>
    </row>
    <row r="50" spans="1:23" hidden="1">
      <c r="A50" s="126" t="s">
        <v>424</v>
      </c>
      <c r="B50" s="126"/>
      <c r="C50" s="125"/>
      <c r="D50" s="116"/>
      <c r="E50" s="116"/>
      <c r="F50" s="116"/>
      <c r="G50" s="116"/>
      <c r="H50" s="116"/>
      <c r="I50" s="116"/>
      <c r="J50" s="116"/>
      <c r="S50" s="431"/>
      <c r="T50" s="432"/>
      <c r="U50" s="432"/>
      <c r="V50" s="432"/>
      <c r="W50" s="432"/>
    </row>
    <row r="51" spans="1:23" hidden="1">
      <c r="A51" s="126" t="s">
        <v>425</v>
      </c>
      <c r="B51" s="126"/>
      <c r="C51" s="126"/>
      <c r="D51" s="116"/>
      <c r="E51" s="116"/>
      <c r="F51" s="428"/>
      <c r="G51" s="116"/>
      <c r="H51" s="116"/>
      <c r="I51" s="116"/>
      <c r="J51" s="116"/>
      <c r="S51" s="431"/>
      <c r="T51" s="432"/>
      <c r="U51" s="432"/>
      <c r="V51" s="432"/>
      <c r="W51" s="432"/>
    </row>
    <row r="52" spans="1:23" hidden="1">
      <c r="A52" s="126" t="s">
        <v>416</v>
      </c>
      <c r="B52" s="126"/>
      <c r="C52" s="126"/>
      <c r="D52" s="116"/>
      <c r="E52" s="116"/>
      <c r="F52" s="116"/>
      <c r="G52" s="116"/>
      <c r="H52" s="116"/>
      <c r="I52" s="116"/>
      <c r="J52" s="116"/>
      <c r="M52" s="430"/>
      <c r="N52" s="430"/>
      <c r="O52" s="430"/>
      <c r="P52" s="430"/>
      <c r="Q52" s="430"/>
    </row>
    <row r="53" spans="1:23" hidden="1">
      <c r="A53" s="429" t="s">
        <v>366</v>
      </c>
      <c r="B53" s="126"/>
      <c r="C53" s="126"/>
      <c r="D53" s="116"/>
      <c r="E53" s="116"/>
      <c r="F53" s="116"/>
      <c r="G53" s="116"/>
      <c r="H53" s="116"/>
      <c r="I53" s="116"/>
      <c r="J53" s="116"/>
      <c r="M53" s="430"/>
      <c r="N53" s="430"/>
      <c r="O53" s="430"/>
      <c r="P53" s="430"/>
      <c r="Q53" s="430"/>
    </row>
    <row r="54" spans="1:23" hidden="1">
      <c r="A54" s="126"/>
      <c r="B54" s="126"/>
      <c r="C54" s="126"/>
      <c r="D54" s="116"/>
      <c r="E54" s="116"/>
      <c r="F54" s="116"/>
      <c r="G54" s="116"/>
      <c r="H54" s="116"/>
      <c r="I54" s="116"/>
      <c r="J54" s="116"/>
      <c r="M54" s="430"/>
      <c r="N54" s="430"/>
      <c r="O54" s="430"/>
      <c r="P54" s="430"/>
      <c r="Q54" s="430"/>
    </row>
    <row r="55" spans="1:23" hidden="1">
      <c r="A55" s="126" t="s">
        <v>262</v>
      </c>
      <c r="B55" s="126"/>
      <c r="C55" s="126">
        <f>ROUNDDOWN(3840/(4*C57),0)*4</f>
        <v>3840</v>
      </c>
      <c r="D55" s="116"/>
      <c r="E55" s="116"/>
      <c r="F55" s="116"/>
      <c r="G55" s="116"/>
      <c r="H55" s="116"/>
      <c r="I55" s="116"/>
      <c r="J55" s="116"/>
      <c r="M55" s="430"/>
      <c r="N55" s="430"/>
      <c r="O55" s="430"/>
      <c r="P55" s="430"/>
      <c r="Q55" s="430"/>
    </row>
    <row r="56" spans="1:23" hidden="1">
      <c r="A56" s="126" t="s">
        <v>263</v>
      </c>
      <c r="B56" s="126"/>
      <c r="C56" s="126">
        <f>ROUNDDOWN(2748/(2*C58),0)*2</f>
        <v>2748</v>
      </c>
      <c r="D56" s="116"/>
      <c r="E56" s="116"/>
      <c r="F56" s="116"/>
      <c r="G56" s="116"/>
      <c r="H56" s="116"/>
      <c r="I56" s="116"/>
      <c r="J56" s="116"/>
      <c r="M56" s="430"/>
      <c r="N56" s="430"/>
      <c r="O56" s="430"/>
      <c r="P56" s="430"/>
      <c r="Q56" s="430"/>
    </row>
    <row r="57" spans="1:23" hidden="1">
      <c r="A57" s="126" t="s">
        <v>264</v>
      </c>
      <c r="B57" s="126"/>
      <c r="C57" s="126">
        <f>IF(C6=1,C8,C6)</f>
        <v>1</v>
      </c>
      <c r="D57" s="116"/>
      <c r="E57" s="116"/>
      <c r="F57" s="116"/>
      <c r="G57" s="116"/>
      <c r="H57" s="116"/>
      <c r="I57" s="116"/>
      <c r="J57" s="116"/>
      <c r="M57" s="430"/>
      <c r="N57" s="430"/>
      <c r="O57" s="430"/>
      <c r="P57" s="430"/>
      <c r="Q57" s="430"/>
    </row>
    <row r="58" spans="1:23" hidden="1">
      <c r="A58" s="126" t="s">
        <v>265</v>
      </c>
      <c r="B58" s="126"/>
      <c r="C58" s="126">
        <f>IF(C7=1,C9,C7)</f>
        <v>1</v>
      </c>
      <c r="D58" s="116"/>
      <c r="E58" s="116"/>
      <c r="F58" s="116"/>
      <c r="G58" s="116"/>
      <c r="H58" s="116"/>
      <c r="I58" s="116"/>
      <c r="J58" s="116"/>
      <c r="M58" s="430"/>
      <c r="N58" s="430"/>
      <c r="O58" s="430"/>
      <c r="P58" s="430"/>
      <c r="Q58" s="430"/>
    </row>
    <row r="59" spans="1:23" hidden="1">
      <c r="A59" s="126" t="s">
        <v>266</v>
      </c>
      <c r="B59" s="126"/>
      <c r="C59" s="126">
        <f>ROUNDDOWN(C63/4,0)*4*C57</f>
        <v>3840</v>
      </c>
      <c r="D59" s="116"/>
      <c r="E59" s="116"/>
      <c r="F59" s="116"/>
      <c r="G59" s="116"/>
      <c r="H59" s="116"/>
      <c r="I59" s="116"/>
      <c r="J59" s="116"/>
      <c r="M59" s="430"/>
      <c r="N59" s="430"/>
      <c r="O59" s="430"/>
      <c r="P59" s="430"/>
      <c r="Q59" s="430"/>
    </row>
    <row r="60" spans="1:23" hidden="1">
      <c r="A60" s="126" t="s">
        <v>267</v>
      </c>
      <c r="B60" s="126"/>
      <c r="C60" s="126">
        <f>ROUNDDOWN(C64/2,0)*2*C58</f>
        <v>2748</v>
      </c>
      <c r="D60" s="116"/>
      <c r="E60" s="116"/>
      <c r="F60" s="116"/>
      <c r="G60" s="116"/>
      <c r="H60" s="116"/>
      <c r="I60" s="116"/>
      <c r="J60" s="116"/>
      <c r="M60" s="430"/>
      <c r="N60" s="430"/>
      <c r="O60" s="430"/>
      <c r="P60" s="430"/>
      <c r="Q60" s="430"/>
    </row>
    <row r="61" spans="1:23" hidden="1">
      <c r="A61" s="126" t="s">
        <v>268</v>
      </c>
      <c r="B61" s="126"/>
      <c r="C61" s="126">
        <f>ROUNDDOWN(C4/4,0)*4*C57</f>
        <v>3840</v>
      </c>
      <c r="D61" s="116"/>
      <c r="E61" s="116"/>
      <c r="F61" s="116"/>
      <c r="G61" s="116"/>
      <c r="H61" s="116"/>
      <c r="I61" s="116"/>
      <c r="J61" s="116"/>
      <c r="M61" s="430"/>
      <c r="N61" s="430"/>
      <c r="O61" s="430"/>
      <c r="P61" s="430"/>
      <c r="Q61" s="430"/>
    </row>
    <row r="62" spans="1:23" hidden="1">
      <c r="A62" s="126" t="s">
        <v>269</v>
      </c>
      <c r="B62" s="126"/>
      <c r="C62" s="126">
        <f>ROUNDDOWN(C5/2,0)*2*C58</f>
        <v>2748</v>
      </c>
      <c r="D62" s="116"/>
      <c r="E62" s="116"/>
      <c r="F62" s="116"/>
      <c r="G62" s="116"/>
      <c r="H62" s="116"/>
      <c r="I62" s="116"/>
      <c r="J62" s="116"/>
      <c r="M62" s="430"/>
      <c r="N62" s="430"/>
      <c r="O62" s="430"/>
      <c r="P62" s="430"/>
      <c r="Q62" s="430"/>
    </row>
    <row r="63" spans="1:23" hidden="1">
      <c r="A63" s="126" t="s">
        <v>270</v>
      </c>
      <c r="B63" s="126"/>
      <c r="C63" s="126">
        <f>ROUNDDOWN(C61/(4*C57),0)*4</f>
        <v>3840</v>
      </c>
      <c r="D63" s="116"/>
      <c r="E63" s="116"/>
      <c r="F63" s="116"/>
      <c r="G63" s="116"/>
      <c r="H63" s="116"/>
      <c r="I63" s="116"/>
      <c r="J63" s="116"/>
      <c r="M63" s="430"/>
      <c r="N63" s="430"/>
      <c r="O63" s="430"/>
      <c r="P63" s="430"/>
      <c r="Q63" s="430"/>
    </row>
    <row r="64" spans="1:23" hidden="1">
      <c r="A64" s="126" t="s">
        <v>271</v>
      </c>
      <c r="B64" s="126"/>
      <c r="C64" s="126">
        <f>ROUNDDOWN(C62/(2*C58),0)*2</f>
        <v>2748</v>
      </c>
      <c r="D64" s="116"/>
      <c r="E64" s="116"/>
      <c r="F64" s="116"/>
      <c r="G64" s="116"/>
      <c r="H64" s="116"/>
      <c r="I64" s="116"/>
      <c r="J64" s="116"/>
    </row>
    <row r="65" spans="1:10" hidden="1">
      <c r="A65" s="126"/>
      <c r="B65" s="126"/>
      <c r="C65" s="126"/>
      <c r="D65" s="116"/>
      <c r="E65" s="116"/>
      <c r="F65" s="116"/>
      <c r="G65" s="116"/>
      <c r="H65" s="116"/>
      <c r="I65" s="116"/>
      <c r="J65" s="116"/>
    </row>
    <row r="66" spans="1:10" hidden="1">
      <c r="A66" s="126"/>
      <c r="B66" s="126"/>
      <c r="C66" s="126"/>
      <c r="D66" s="116"/>
      <c r="E66" s="116"/>
      <c r="F66" s="116"/>
      <c r="G66" s="116"/>
      <c r="H66" s="116"/>
      <c r="I66" s="116"/>
      <c r="J66" s="116"/>
    </row>
    <row r="67" spans="1:10" ht="13.5" customHeight="1">
      <c r="A67" s="130" t="s">
        <v>272</v>
      </c>
      <c r="B67" s="130"/>
      <c r="C67" s="130"/>
      <c r="D67" s="116"/>
      <c r="E67" s="116"/>
      <c r="F67" s="116"/>
      <c r="G67" s="116"/>
      <c r="H67" s="116"/>
      <c r="I67" s="116"/>
      <c r="J67" s="116"/>
    </row>
    <row r="68" spans="1:10" ht="14.25">
      <c r="A68" s="130" t="s">
        <v>252</v>
      </c>
      <c r="B68" s="130" t="s">
        <v>273</v>
      </c>
      <c r="C68" s="121">
        <f>ROUND(C42,2)</f>
        <v>10.01</v>
      </c>
      <c r="D68" s="131" t="str">
        <f>IF(J81=1,J77,"")</f>
        <v/>
      </c>
      <c r="E68" s="116"/>
      <c r="F68" s="116"/>
      <c r="G68" s="116"/>
      <c r="H68" s="116"/>
      <c r="I68" s="116"/>
      <c r="J68" s="116"/>
    </row>
    <row r="69" spans="1:10">
      <c r="A69" s="116"/>
      <c r="B69" s="116"/>
      <c r="C69" s="116"/>
      <c r="D69" s="116"/>
      <c r="E69" s="116"/>
      <c r="F69" s="116"/>
      <c r="G69" s="116"/>
      <c r="H69" s="116"/>
      <c r="I69" s="116"/>
      <c r="J69" s="116"/>
    </row>
    <row r="70" spans="1:10">
      <c r="A70" s="116"/>
      <c r="B70" s="116"/>
      <c r="C70" s="116"/>
      <c r="D70" s="116"/>
      <c r="E70" s="116"/>
      <c r="F70" s="116"/>
      <c r="G70" s="116"/>
      <c r="H70" s="116"/>
      <c r="I70" s="116"/>
      <c r="J70" s="116"/>
    </row>
    <row r="71" spans="1:10">
      <c r="A71" s="116"/>
      <c r="B71" s="116"/>
      <c r="C71" s="116"/>
      <c r="D71" s="116"/>
      <c r="E71" s="116"/>
      <c r="F71" s="116"/>
      <c r="G71" s="116"/>
      <c r="H71" s="116"/>
      <c r="I71" s="116"/>
      <c r="J71" s="116"/>
    </row>
    <row r="72" spans="1:10">
      <c r="A72" s="116"/>
      <c r="B72" s="116"/>
      <c r="C72" s="116"/>
      <c r="D72" s="116"/>
      <c r="E72" s="116"/>
      <c r="F72" s="116"/>
      <c r="G72" s="116"/>
      <c r="H72" s="116"/>
      <c r="I72" s="116"/>
      <c r="J72" s="116"/>
    </row>
    <row r="73" spans="1:10">
      <c r="A73" s="116"/>
      <c r="B73" s="116"/>
      <c r="C73" s="116"/>
      <c r="D73" s="116"/>
      <c r="E73" s="116"/>
      <c r="F73" s="116"/>
      <c r="G73" s="116"/>
      <c r="H73" s="116"/>
      <c r="I73" s="116"/>
      <c r="J73" s="116"/>
    </row>
    <row r="74" spans="1:10">
      <c r="A74" s="116"/>
      <c r="B74" s="116"/>
      <c r="C74" s="116"/>
      <c r="D74" s="116"/>
      <c r="E74" s="116"/>
      <c r="F74" s="116"/>
      <c r="G74" s="116"/>
      <c r="H74" s="116"/>
      <c r="I74" s="116"/>
      <c r="J74" s="455" t="s">
        <v>418</v>
      </c>
    </row>
    <row r="75" spans="1:10">
      <c r="A75" s="116"/>
      <c r="B75" s="116"/>
      <c r="C75" s="116"/>
      <c r="D75" s="116"/>
      <c r="E75" s="116"/>
      <c r="F75" s="116"/>
      <c r="G75" s="116"/>
      <c r="H75" s="116"/>
      <c r="I75" s="116"/>
      <c r="J75" s="455" t="s">
        <v>419</v>
      </c>
    </row>
    <row r="76" spans="1:10">
      <c r="A76" s="116"/>
      <c r="B76" s="116"/>
      <c r="C76" s="116"/>
      <c r="D76" s="116"/>
      <c r="E76" s="116"/>
      <c r="F76" s="116"/>
      <c r="G76" s="116"/>
      <c r="H76" s="116"/>
      <c r="I76" s="116"/>
      <c r="J76" s="455" t="s">
        <v>420</v>
      </c>
    </row>
    <row r="77" spans="1:10">
      <c r="A77" s="116"/>
      <c r="B77" s="116"/>
      <c r="C77" s="116"/>
      <c r="D77" s="116"/>
      <c r="E77" s="116"/>
      <c r="F77" s="116"/>
      <c r="G77" s="116"/>
      <c r="H77" s="116"/>
      <c r="I77" s="116"/>
      <c r="J77" s="455" t="s">
        <v>421</v>
      </c>
    </row>
    <row r="78" spans="1:10">
      <c r="A78" s="116"/>
      <c r="B78" s="116"/>
      <c r="C78" s="116"/>
      <c r="D78" s="116"/>
      <c r="E78" s="116"/>
      <c r="F78" s="116"/>
      <c r="G78" s="116"/>
      <c r="H78" s="116"/>
      <c r="I78" s="116"/>
      <c r="J78"/>
    </row>
    <row r="79" spans="1:10">
      <c r="A79" s="116"/>
      <c r="B79" s="116"/>
      <c r="C79" s="116"/>
      <c r="D79" s="116"/>
      <c r="E79" s="116"/>
      <c r="F79" s="116"/>
      <c r="G79" s="116"/>
      <c r="H79" s="116"/>
      <c r="I79" s="116"/>
      <c r="J79"/>
    </row>
    <row r="80" spans="1:10">
      <c r="A80" s="116"/>
      <c r="B80" s="116"/>
      <c r="C80" s="116"/>
      <c r="D80" s="116"/>
      <c r="E80" s="116"/>
      <c r="F80" s="116"/>
      <c r="G80" s="116"/>
      <c r="H80" s="116"/>
      <c r="I80" s="116"/>
      <c r="J80" s="115" t="s">
        <v>422</v>
      </c>
    </row>
    <row r="81" spans="1:10">
      <c r="A81" s="116"/>
      <c r="B81" s="116"/>
      <c r="C81" s="116"/>
      <c r="D81" s="116"/>
      <c r="E81" s="116"/>
      <c r="F81" s="116"/>
      <c r="G81" s="116"/>
      <c r="H81" s="116"/>
      <c r="I81" s="116"/>
      <c r="J81" s="116">
        <f>IF(OR(OR(C4&gt;C2,C4&lt;8),OR(C5&gt;C3,C5&lt;2)),1,0)</f>
        <v>0</v>
      </c>
    </row>
    <row r="99" spans="1:24" hidden="1"/>
    <row r="100" spans="1:24" hidden="1">
      <c r="A100" s="794" t="s">
        <v>658</v>
      </c>
      <c r="B100" s="794"/>
      <c r="C100" s="794"/>
      <c r="D100" s="794"/>
      <c r="E100" s="795"/>
      <c r="G100" s="796" t="s">
        <v>435</v>
      </c>
      <c r="H100" s="797"/>
      <c r="I100" s="797"/>
      <c r="J100" s="797"/>
      <c r="K100" s="798"/>
      <c r="M100" s="796" t="s">
        <v>656</v>
      </c>
      <c r="N100" s="797"/>
      <c r="O100" s="797"/>
      <c r="P100" s="797"/>
      <c r="Q100" s="798"/>
      <c r="S100" s="799" t="s">
        <v>771</v>
      </c>
      <c r="T100" s="800"/>
      <c r="U100" s="800"/>
      <c r="V100" s="800"/>
      <c r="W100" s="800"/>
      <c r="X100" s="801"/>
    </row>
    <row r="101" spans="1:24" hidden="1">
      <c r="A101" s="433" t="s">
        <v>444</v>
      </c>
      <c r="B101" s="433" t="s">
        <v>687</v>
      </c>
      <c r="C101" s="433" t="s">
        <v>445</v>
      </c>
      <c r="D101" s="433" t="s">
        <v>446</v>
      </c>
      <c r="E101" s="434" t="s">
        <v>449</v>
      </c>
      <c r="G101" s="435" t="s">
        <v>444</v>
      </c>
      <c r="H101" s="433" t="s">
        <v>438</v>
      </c>
      <c r="I101" s="456" t="s">
        <v>447</v>
      </c>
      <c r="J101" s="433" t="s">
        <v>448</v>
      </c>
      <c r="K101" s="457" t="s">
        <v>449</v>
      </c>
      <c r="M101" s="783" t="s">
        <v>620</v>
      </c>
      <c r="N101" s="781"/>
      <c r="O101" s="781"/>
      <c r="P101" s="781"/>
      <c r="Q101" s="782"/>
      <c r="S101" s="790" t="s">
        <v>932</v>
      </c>
      <c r="T101" s="791"/>
      <c r="U101" s="791"/>
      <c r="V101" s="791"/>
      <c r="W101" s="791"/>
      <c r="X101" s="792"/>
    </row>
    <row r="102" spans="1:24" ht="27" hidden="1">
      <c r="A102" s="781" t="s">
        <v>218</v>
      </c>
      <c r="B102" s="781"/>
      <c r="C102" s="781"/>
      <c r="D102" s="781"/>
      <c r="E102" s="782"/>
      <c r="G102" s="783" t="s">
        <v>252</v>
      </c>
      <c r="H102" s="781"/>
      <c r="I102" s="781"/>
      <c r="J102" s="781"/>
      <c r="K102" s="782"/>
      <c r="M102" s="435" t="s">
        <v>444</v>
      </c>
      <c r="N102" s="433" t="s">
        <v>438</v>
      </c>
      <c r="O102" s="433" t="s">
        <v>447</v>
      </c>
      <c r="P102" s="433" t="s">
        <v>688</v>
      </c>
      <c r="Q102" s="475" t="s">
        <v>449</v>
      </c>
      <c r="S102" s="435" t="s">
        <v>437</v>
      </c>
      <c r="T102" s="433" t="s">
        <v>438</v>
      </c>
      <c r="U102" s="433" t="s">
        <v>439</v>
      </c>
      <c r="V102" s="433" t="s">
        <v>447</v>
      </c>
      <c r="W102" s="433" t="s">
        <v>688</v>
      </c>
      <c r="X102" s="434" t="s">
        <v>777</v>
      </c>
    </row>
    <row r="103" spans="1:24" ht="27" hidden="1">
      <c r="A103" s="436" t="s">
        <v>933</v>
      </c>
      <c r="B103" s="436" t="s">
        <v>458</v>
      </c>
      <c r="C103" s="436">
        <v>8</v>
      </c>
      <c r="D103" s="437">
        <f>C12</f>
        <v>8</v>
      </c>
      <c r="E103" s="438" t="s">
        <v>594</v>
      </c>
      <c r="G103" s="439" t="s">
        <v>396</v>
      </c>
      <c r="H103" s="436" t="s">
        <v>934</v>
      </c>
      <c r="I103" s="458" t="s">
        <v>935</v>
      </c>
      <c r="J103" s="459">
        <f>ROUNDUP(P114*W108,0)</f>
        <v>34500</v>
      </c>
      <c r="K103" s="460" t="s">
        <v>461</v>
      </c>
      <c r="M103" s="461" t="s">
        <v>936</v>
      </c>
      <c r="N103" s="462" t="s">
        <v>937</v>
      </c>
      <c r="O103" s="683" t="s">
        <v>938</v>
      </c>
      <c r="P103" s="463">
        <v>160000</v>
      </c>
      <c r="Q103" s="476" t="s">
        <v>622</v>
      </c>
      <c r="S103" s="477" t="s">
        <v>455</v>
      </c>
      <c r="T103" s="441" t="s">
        <v>939</v>
      </c>
      <c r="U103" s="441" t="s">
        <v>940</v>
      </c>
      <c r="V103" s="441" t="s">
        <v>941</v>
      </c>
      <c r="W103" s="443">
        <f>8+D114*D129</f>
        <v>8</v>
      </c>
      <c r="X103" s="478" t="str">
        <f t="shared" ref="X103:X112" si="0">"0x"&amp;DEC2HEX(W103)</f>
        <v>0x8</v>
      </c>
    </row>
    <row r="104" spans="1:24" ht="27" hidden="1">
      <c r="A104" s="781" t="s">
        <v>214</v>
      </c>
      <c r="B104" s="781"/>
      <c r="C104" s="781"/>
      <c r="D104" s="781"/>
      <c r="E104" s="782"/>
      <c r="G104" s="439" t="s">
        <v>406</v>
      </c>
      <c r="H104" s="436" t="s">
        <v>942</v>
      </c>
      <c r="I104" s="458" t="s">
        <v>943</v>
      </c>
      <c r="J104" s="464">
        <f>P115*J103/1000</f>
        <v>99912</v>
      </c>
      <c r="K104" s="460" t="s">
        <v>478</v>
      </c>
      <c r="M104" s="461" t="s">
        <v>944</v>
      </c>
      <c r="N104" s="462" t="s">
        <v>945</v>
      </c>
      <c r="O104" s="683" t="s">
        <v>938</v>
      </c>
      <c r="P104" s="463">
        <v>160000</v>
      </c>
      <c r="Q104" s="476" t="s">
        <v>622</v>
      </c>
      <c r="S104" s="477" t="s">
        <v>464</v>
      </c>
      <c r="T104" s="441" t="s">
        <v>946</v>
      </c>
      <c r="U104" s="441" t="s">
        <v>947</v>
      </c>
      <c r="V104" s="441">
        <v>32</v>
      </c>
      <c r="W104" s="443">
        <v>32</v>
      </c>
      <c r="X104" s="478" t="str">
        <f t="shared" si="0"/>
        <v>0x20</v>
      </c>
    </row>
    <row r="105" spans="1:24" ht="27" hidden="1">
      <c r="A105" s="436" t="s">
        <v>948</v>
      </c>
      <c r="B105" s="436" t="s">
        <v>706</v>
      </c>
      <c r="C105" s="436" t="s">
        <v>707</v>
      </c>
      <c r="D105" s="437" t="s">
        <v>707</v>
      </c>
      <c r="E105" s="438" t="s">
        <v>594</v>
      </c>
      <c r="G105" s="439" t="s">
        <v>486</v>
      </c>
      <c r="H105" s="436" t="s">
        <v>949</v>
      </c>
      <c r="I105" s="458" t="s">
        <v>487</v>
      </c>
      <c r="J105" s="464">
        <f>1000000/J104</f>
        <v>10.008807750820722</v>
      </c>
      <c r="K105" s="460" t="s">
        <v>488</v>
      </c>
      <c r="M105" s="461" t="s">
        <v>950</v>
      </c>
      <c r="N105" s="462" t="s">
        <v>951</v>
      </c>
      <c r="O105" s="683" t="s">
        <v>938</v>
      </c>
      <c r="P105" s="463">
        <v>40000</v>
      </c>
      <c r="Q105" s="476" t="s">
        <v>622</v>
      </c>
      <c r="S105" s="477" t="s">
        <v>472</v>
      </c>
      <c r="T105" s="441" t="s">
        <v>952</v>
      </c>
      <c r="U105" s="441" t="s">
        <v>953</v>
      </c>
      <c r="V105" s="441" t="s">
        <v>954</v>
      </c>
      <c r="W105" s="443">
        <f>W103+W110-1</f>
        <v>2755</v>
      </c>
      <c r="X105" s="478" t="str">
        <f t="shared" si="0"/>
        <v>0xAC3</v>
      </c>
    </row>
    <row r="106" spans="1:24" ht="27" hidden="1">
      <c r="A106" s="436" t="s">
        <v>955</v>
      </c>
      <c r="B106" s="436" t="s">
        <v>715</v>
      </c>
      <c r="C106" s="436" t="s">
        <v>716</v>
      </c>
      <c r="D106" s="437" t="s">
        <v>716</v>
      </c>
      <c r="E106" s="438" t="s">
        <v>594</v>
      </c>
      <c r="G106" s="783" t="s">
        <v>510</v>
      </c>
      <c r="H106" s="781"/>
      <c r="I106" s="781"/>
      <c r="J106" s="781"/>
      <c r="K106" s="782"/>
      <c r="M106" s="465" t="s">
        <v>634</v>
      </c>
      <c r="N106" s="466" t="s">
        <v>634</v>
      </c>
      <c r="O106" s="683" t="s">
        <v>938</v>
      </c>
      <c r="P106" s="463">
        <v>6600</v>
      </c>
      <c r="Q106" s="476" t="s">
        <v>478</v>
      </c>
      <c r="S106" s="477" t="s">
        <v>481</v>
      </c>
      <c r="T106" s="441" t="s">
        <v>956</v>
      </c>
      <c r="U106" s="441" t="s">
        <v>957</v>
      </c>
      <c r="V106" s="441" t="s">
        <v>958</v>
      </c>
      <c r="W106" s="443">
        <f>W104+W109-1</f>
        <v>3871</v>
      </c>
      <c r="X106" s="478" t="str">
        <f t="shared" si="0"/>
        <v>0xF1F</v>
      </c>
    </row>
    <row r="107" spans="1:24" ht="27" hidden="1">
      <c r="A107" s="436" t="s">
        <v>959</v>
      </c>
      <c r="B107" s="436" t="s">
        <v>475</v>
      </c>
      <c r="C107" s="436">
        <v>60000</v>
      </c>
      <c r="D107" s="437">
        <f>C10</f>
        <v>60000</v>
      </c>
      <c r="E107" s="438" t="s">
        <v>478</v>
      </c>
      <c r="G107" s="440" t="s">
        <v>516</v>
      </c>
      <c r="H107" s="441" t="s">
        <v>517</v>
      </c>
      <c r="I107" s="443" t="s">
        <v>960</v>
      </c>
      <c r="J107" s="467">
        <f>D116*D129+P108</f>
        <v>2896</v>
      </c>
      <c r="K107" s="468" t="str">
        <f>IF(D106="Ultra Short","us","line")</f>
        <v>line</v>
      </c>
      <c r="M107" s="465" t="s">
        <v>739</v>
      </c>
      <c r="N107" s="466" t="s">
        <v>961</v>
      </c>
      <c r="O107" s="683" t="s">
        <v>938</v>
      </c>
      <c r="P107" s="463">
        <v>1</v>
      </c>
      <c r="Q107" s="476" t="s">
        <v>469</v>
      </c>
      <c r="S107" s="477" t="s">
        <v>500</v>
      </c>
      <c r="T107" s="441" t="s">
        <v>962</v>
      </c>
      <c r="U107" s="441" t="s">
        <v>963</v>
      </c>
      <c r="V107" s="441" t="s">
        <v>964</v>
      </c>
      <c r="W107" s="443">
        <f>P115</f>
        <v>2896</v>
      </c>
      <c r="X107" s="478" t="str">
        <f t="shared" si="0"/>
        <v>0xB50</v>
      </c>
    </row>
    <row r="108" spans="1:24" ht="27" hidden="1">
      <c r="A108" s="793" t="s">
        <v>280</v>
      </c>
      <c r="B108" s="788"/>
      <c r="C108" s="788"/>
      <c r="D108" s="788"/>
      <c r="E108" s="789"/>
      <c r="G108" s="442" t="s">
        <v>522</v>
      </c>
      <c r="H108" s="443" t="s">
        <v>523</v>
      </c>
      <c r="I108" s="443" t="s">
        <v>965</v>
      </c>
      <c r="J108" s="467">
        <f>W111+P107</f>
        <v>1740</v>
      </c>
      <c r="K108" s="468" t="str">
        <f>IF(D106="Ultra Short","us","line")</f>
        <v>line</v>
      </c>
      <c r="M108" s="465" t="s">
        <v>629</v>
      </c>
      <c r="N108" s="466" t="s">
        <v>630</v>
      </c>
      <c r="O108" s="683" t="s">
        <v>938</v>
      </c>
      <c r="P108" s="463">
        <v>148</v>
      </c>
      <c r="Q108" s="479" t="s">
        <v>469</v>
      </c>
      <c r="S108" s="477" t="s">
        <v>505</v>
      </c>
      <c r="T108" s="441" t="s">
        <v>966</v>
      </c>
      <c r="U108" s="441" t="s">
        <v>967</v>
      </c>
      <c r="V108" s="441">
        <v>5520</v>
      </c>
      <c r="W108" s="443">
        <f>5520</f>
        <v>5520</v>
      </c>
      <c r="X108" s="478" t="str">
        <f t="shared" si="0"/>
        <v>0x1590</v>
      </c>
    </row>
    <row r="109" spans="1:24" ht="27" hidden="1">
      <c r="A109" s="439" t="s">
        <v>968</v>
      </c>
      <c r="B109" s="436" t="s">
        <v>428</v>
      </c>
      <c r="C109" s="436">
        <v>0</v>
      </c>
      <c r="D109" s="437">
        <f>C21</f>
        <v>0</v>
      </c>
      <c r="E109" s="444" t="s">
        <v>594</v>
      </c>
      <c r="G109" s="445" t="s">
        <v>969</v>
      </c>
      <c r="H109" s="446" t="s">
        <v>413</v>
      </c>
      <c r="I109" s="446" t="s">
        <v>970</v>
      </c>
      <c r="J109" s="464">
        <f>ROUNDUP((J113+J117+P106)*1000/J103,0)</f>
        <v>4679</v>
      </c>
      <c r="K109" s="469" t="s">
        <v>469</v>
      </c>
      <c r="M109" s="439" t="s">
        <v>382</v>
      </c>
      <c r="N109" s="436" t="s">
        <v>752</v>
      </c>
      <c r="O109" s="683" t="s">
        <v>938</v>
      </c>
      <c r="P109" s="463">
        <v>1</v>
      </c>
      <c r="Q109" s="460"/>
      <c r="S109" s="477" t="s">
        <v>491</v>
      </c>
      <c r="T109" s="441" t="s">
        <v>971</v>
      </c>
      <c r="U109" s="441" t="s">
        <v>972</v>
      </c>
      <c r="V109" s="441">
        <v>3840</v>
      </c>
      <c r="W109" s="443">
        <f>3840</f>
        <v>3840</v>
      </c>
      <c r="X109" s="478" t="str">
        <f t="shared" si="0"/>
        <v>0xF00</v>
      </c>
    </row>
    <row r="110" spans="1:24" ht="40.5" hidden="1">
      <c r="A110" s="781" t="s">
        <v>747</v>
      </c>
      <c r="B110" s="781"/>
      <c r="C110" s="781"/>
      <c r="D110" s="781"/>
      <c r="E110" s="782"/>
      <c r="G110" s="439" t="s">
        <v>534</v>
      </c>
      <c r="H110" s="436" t="s">
        <v>535</v>
      </c>
      <c r="I110" s="436" t="s">
        <v>973</v>
      </c>
      <c r="J110" s="464">
        <f>ROUNDUP(((1000000000/D126)/J103)*D125,0)</f>
        <v>0</v>
      </c>
      <c r="K110" s="469" t="str">
        <f>IF(D106="Ultra Short","us","line")</f>
        <v>line</v>
      </c>
      <c r="M110" s="439" t="s">
        <v>383</v>
      </c>
      <c r="N110" s="436" t="s">
        <v>756</v>
      </c>
      <c r="O110" s="683" t="s">
        <v>938</v>
      </c>
      <c r="P110" s="463">
        <v>4</v>
      </c>
      <c r="Q110" s="460"/>
      <c r="S110" s="477" t="s">
        <v>495</v>
      </c>
      <c r="T110" s="441" t="s">
        <v>974</v>
      </c>
      <c r="U110" s="441" t="s">
        <v>975</v>
      </c>
      <c r="V110" s="441" t="s">
        <v>976</v>
      </c>
      <c r="W110" s="443">
        <f>D116*D129</f>
        <v>2748</v>
      </c>
      <c r="X110" s="478" t="str">
        <f t="shared" si="0"/>
        <v>0xABC</v>
      </c>
    </row>
    <row r="111" spans="1:24" ht="40.5" hidden="1">
      <c r="A111" s="436" t="s">
        <v>977</v>
      </c>
      <c r="B111" s="436" t="s">
        <v>508</v>
      </c>
      <c r="C111" s="436">
        <v>0</v>
      </c>
      <c r="D111" s="437">
        <f>C11</f>
        <v>0</v>
      </c>
      <c r="E111" s="438" t="s">
        <v>478</v>
      </c>
      <c r="G111" s="439" t="s">
        <v>540</v>
      </c>
      <c r="H111" s="436" t="s">
        <v>417</v>
      </c>
      <c r="I111" s="446" t="s">
        <v>978</v>
      </c>
      <c r="J111" s="464">
        <f>P147</f>
        <v>2857</v>
      </c>
      <c r="K111" s="469" t="str">
        <f>IF(D106="Ultra Short","us","line")</f>
        <v>line</v>
      </c>
      <c r="M111" s="439" t="s">
        <v>769</v>
      </c>
      <c r="N111" s="436" t="s">
        <v>770</v>
      </c>
      <c r="O111" s="683" t="s">
        <v>938</v>
      </c>
      <c r="P111" s="463">
        <v>2</v>
      </c>
      <c r="Q111" s="460"/>
      <c r="S111" s="477" t="s">
        <v>513</v>
      </c>
      <c r="T111" s="441" t="s">
        <v>979</v>
      </c>
      <c r="U111" s="441" t="s">
        <v>980</v>
      </c>
      <c r="V111" s="441" t="s">
        <v>981</v>
      </c>
      <c r="W111" s="443">
        <f>ROUNDDOWN(D107*10^3/J103,0)</f>
        <v>1739</v>
      </c>
      <c r="X111" s="478" t="str">
        <f t="shared" si="0"/>
        <v>0x6CB</v>
      </c>
    </row>
    <row r="112" spans="1:24" ht="40.5" hidden="1">
      <c r="A112" s="781" t="s">
        <v>753</v>
      </c>
      <c r="B112" s="781"/>
      <c r="C112" s="781"/>
      <c r="D112" s="781"/>
      <c r="E112" s="782"/>
      <c r="G112" s="783" t="s">
        <v>729</v>
      </c>
      <c r="H112" s="781"/>
      <c r="I112" s="781"/>
      <c r="J112" s="781"/>
      <c r="K112" s="782"/>
      <c r="M112" s="439" t="s">
        <v>385</v>
      </c>
      <c r="N112" s="436" t="s">
        <v>982</v>
      </c>
      <c r="O112" s="683" t="s">
        <v>938</v>
      </c>
      <c r="P112" s="463">
        <v>80000</v>
      </c>
      <c r="Q112" s="460" t="s">
        <v>622</v>
      </c>
      <c r="S112" s="480" t="s">
        <v>983</v>
      </c>
      <c r="T112" s="481" t="s">
        <v>984</v>
      </c>
      <c r="U112" s="481" t="s">
        <v>985</v>
      </c>
      <c r="V112" s="481">
        <v>1010</v>
      </c>
      <c r="W112" s="482">
        <f>1010</f>
        <v>1010</v>
      </c>
      <c r="X112" s="483" t="str">
        <f t="shared" si="0"/>
        <v>0x3F2</v>
      </c>
    </row>
    <row r="113" spans="1:24" ht="40.5" hidden="1">
      <c r="A113" s="436" t="s">
        <v>986</v>
      </c>
      <c r="B113" s="436" t="s">
        <v>758</v>
      </c>
      <c r="C113" s="436">
        <v>0</v>
      </c>
      <c r="D113" s="437">
        <v>0</v>
      </c>
      <c r="E113" s="438" t="s">
        <v>704</v>
      </c>
      <c r="G113" s="439" t="s">
        <v>987</v>
      </c>
      <c r="H113" s="436" t="s">
        <v>737</v>
      </c>
      <c r="I113" s="436" t="s">
        <v>988</v>
      </c>
      <c r="J113" s="470">
        <f>(W111*J103+W112*P114)/1000</f>
        <v>60001.8125</v>
      </c>
      <c r="K113" s="469" t="s">
        <v>478</v>
      </c>
      <c r="M113" s="783" t="s">
        <v>989</v>
      </c>
      <c r="N113" s="781"/>
      <c r="O113" s="781"/>
      <c r="P113" s="781"/>
      <c r="Q113" s="782"/>
      <c r="S113" s="790" t="s">
        <v>531</v>
      </c>
      <c r="T113" s="791"/>
      <c r="U113" s="791"/>
      <c r="V113" s="791"/>
      <c r="W113" s="791"/>
      <c r="X113" s="792"/>
    </row>
    <row r="114" spans="1:24" ht="40.5" hidden="1">
      <c r="A114" s="436" t="s">
        <v>990</v>
      </c>
      <c r="B114" s="436" t="s">
        <v>761</v>
      </c>
      <c r="C114" s="436">
        <v>0</v>
      </c>
      <c r="D114" s="437">
        <v>0</v>
      </c>
      <c r="E114" s="438" t="s">
        <v>704</v>
      </c>
      <c r="G114" s="439" t="s">
        <v>991</v>
      </c>
      <c r="H114" s="436" t="s">
        <v>992</v>
      </c>
      <c r="I114" s="436" t="s">
        <v>993</v>
      </c>
      <c r="J114" s="470">
        <f>D111+P106+J113+MAX(J117,P116*1000)</f>
        <v>165143.19916666666</v>
      </c>
      <c r="K114" s="469" t="s">
        <v>478</v>
      </c>
      <c r="M114" s="461" t="s">
        <v>994</v>
      </c>
      <c r="N114" s="462" t="s">
        <v>995</v>
      </c>
      <c r="O114" s="462" t="s">
        <v>996</v>
      </c>
      <c r="P114" s="463">
        <f>1*10^6/P103</f>
        <v>6.25</v>
      </c>
      <c r="Q114" s="476" t="s">
        <v>461</v>
      </c>
      <c r="S114" s="435" t="s">
        <v>437</v>
      </c>
      <c r="T114" s="433" t="s">
        <v>438</v>
      </c>
      <c r="U114" s="433" t="s">
        <v>439</v>
      </c>
      <c r="V114" s="433" t="s">
        <v>447</v>
      </c>
      <c r="W114" s="433" t="s">
        <v>777</v>
      </c>
      <c r="X114" s="434" t="s">
        <v>438</v>
      </c>
    </row>
    <row r="115" spans="1:24" ht="81" hidden="1">
      <c r="A115" s="436" t="s">
        <v>997</v>
      </c>
      <c r="B115" s="436" t="s">
        <v>203</v>
      </c>
      <c r="C115" s="436">
        <v>3840</v>
      </c>
      <c r="D115" s="437">
        <f>C4</f>
        <v>3840</v>
      </c>
      <c r="E115" s="438" t="s">
        <v>704</v>
      </c>
      <c r="G115" s="439" t="s">
        <v>553</v>
      </c>
      <c r="H115" s="436" t="s">
        <v>554</v>
      </c>
      <c r="I115" s="436" t="s">
        <v>998</v>
      </c>
      <c r="J115" s="464">
        <f>D111+P106+(W110-1)*J103/1000</f>
        <v>101371.5</v>
      </c>
      <c r="K115" s="460" t="s">
        <v>478</v>
      </c>
      <c r="M115" s="461" t="s">
        <v>964</v>
      </c>
      <c r="N115" s="462" t="s">
        <v>999</v>
      </c>
      <c r="O115" s="462" t="s">
        <v>1000</v>
      </c>
      <c r="P115" s="463">
        <f>IF(D109=1,MAX(J109,J110),MAX(J107,J108,J110,J111))</f>
        <v>2896</v>
      </c>
      <c r="Q115" s="476" t="s">
        <v>469</v>
      </c>
      <c r="S115" s="477" t="s">
        <v>1001</v>
      </c>
      <c r="T115" s="441" t="s">
        <v>1002</v>
      </c>
      <c r="U115" s="441" t="s">
        <v>1003</v>
      </c>
      <c r="V115" s="441" t="s">
        <v>1004</v>
      </c>
      <c r="W115" s="467" t="str">
        <f>"0x"&amp;DEC2HEX(ROUNDUP(MAX(J109,J110)*J103/1000,0))</f>
        <v>0x27692</v>
      </c>
      <c r="X115" s="484" t="s">
        <v>1005</v>
      </c>
    </row>
    <row r="116" spans="1:24" ht="54" hidden="1">
      <c r="A116" s="436" t="s">
        <v>1006</v>
      </c>
      <c r="B116" s="436" t="s">
        <v>205</v>
      </c>
      <c r="C116" s="436">
        <v>2748</v>
      </c>
      <c r="D116" s="437">
        <f>C5</f>
        <v>2748</v>
      </c>
      <c r="E116" s="438" t="s">
        <v>704</v>
      </c>
      <c r="G116" s="439" t="s">
        <v>560</v>
      </c>
      <c r="H116" s="436" t="s">
        <v>1007</v>
      </c>
      <c r="I116" s="436" t="s">
        <v>1008</v>
      </c>
      <c r="J116" s="464">
        <f>IF(J113-(W110-1)*J103/1000-51&gt;0,J113-(W110-1)*J103/1000-51,0)</f>
        <v>0</v>
      </c>
      <c r="K116" s="460" t="s">
        <v>478</v>
      </c>
      <c r="M116" s="439" t="s">
        <v>1009</v>
      </c>
      <c r="N116" s="436" t="s">
        <v>1010</v>
      </c>
      <c r="O116" s="462" t="s">
        <v>1011</v>
      </c>
      <c r="P116" s="463">
        <f>P145*10000/P146</f>
        <v>98.541386666666668</v>
      </c>
      <c r="Q116" s="460" t="s">
        <v>1012</v>
      </c>
      <c r="S116" s="477" t="s">
        <v>1013</v>
      </c>
      <c r="T116" s="485" t="s">
        <v>1014</v>
      </c>
      <c r="U116" s="486" t="s">
        <v>1015</v>
      </c>
      <c r="V116" s="441" t="s">
        <v>1016</v>
      </c>
      <c r="W116" s="467" t="str">
        <f>"0x"&amp;DEC2HEX(D113*D128)</f>
        <v>0x0</v>
      </c>
      <c r="X116" s="778" t="s">
        <v>1017</v>
      </c>
    </row>
    <row r="117" spans="1:24" ht="40.5" hidden="1">
      <c r="A117" s="787" t="s">
        <v>571</v>
      </c>
      <c r="B117" s="788"/>
      <c r="C117" s="788"/>
      <c r="D117" s="788"/>
      <c r="E117" s="789"/>
      <c r="G117" s="439" t="s">
        <v>399</v>
      </c>
      <c r="H117" s="436" t="s">
        <v>754</v>
      </c>
      <c r="I117" s="436" t="s">
        <v>1018</v>
      </c>
      <c r="J117" s="471">
        <f>D116*D129*J103/1000</f>
        <v>94806</v>
      </c>
      <c r="K117" s="469" t="s">
        <v>478</v>
      </c>
      <c r="M117" s="783" t="s">
        <v>799</v>
      </c>
      <c r="N117" s="781"/>
      <c r="O117" s="781"/>
      <c r="P117" s="781"/>
      <c r="Q117" s="782"/>
      <c r="S117" s="477" t="s">
        <v>1019</v>
      </c>
      <c r="T117" s="485" t="s">
        <v>1020</v>
      </c>
      <c r="U117" s="486" t="s">
        <v>1021</v>
      </c>
      <c r="V117" s="441" t="s">
        <v>1022</v>
      </c>
      <c r="W117" s="467" t="str">
        <f>"0x"&amp;DEC2HEX(D114*D129)</f>
        <v>0x0</v>
      </c>
      <c r="X117" s="779"/>
    </row>
    <row r="118" spans="1:24" ht="40.5" hidden="1">
      <c r="A118" s="436" t="s">
        <v>1023</v>
      </c>
      <c r="B118" s="436" t="s">
        <v>372</v>
      </c>
      <c r="C118" s="447">
        <v>0</v>
      </c>
      <c r="D118" s="437">
        <v>0</v>
      </c>
      <c r="E118" s="438" t="s">
        <v>594</v>
      </c>
      <c r="G118" s="783" t="s">
        <v>366</v>
      </c>
      <c r="H118" s="781"/>
      <c r="I118" s="781"/>
      <c r="J118" s="781"/>
      <c r="K118" s="782"/>
      <c r="M118" s="435" t="s">
        <v>444</v>
      </c>
      <c r="N118" s="433" t="s">
        <v>438</v>
      </c>
      <c r="O118" s="433" t="s">
        <v>447</v>
      </c>
      <c r="P118" s="433" t="s">
        <v>688</v>
      </c>
      <c r="Q118" s="475" t="s">
        <v>449</v>
      </c>
      <c r="S118" s="487" t="s">
        <v>1024</v>
      </c>
      <c r="T118" s="488" t="s">
        <v>1025</v>
      </c>
      <c r="U118" s="489" t="s">
        <v>1026</v>
      </c>
      <c r="V118" s="490" t="s">
        <v>1027</v>
      </c>
      <c r="W118" s="467" t="str">
        <f>"0x"&amp;DEC2HEX(D115*D128)</f>
        <v>0xF00</v>
      </c>
      <c r="X118" s="779"/>
    </row>
    <row r="119" spans="1:24" ht="40.5" hidden="1">
      <c r="A119" s="781" t="s">
        <v>789</v>
      </c>
      <c r="B119" s="781"/>
      <c r="C119" s="781"/>
      <c r="D119" s="781"/>
      <c r="E119" s="782"/>
      <c r="G119" s="439" t="s">
        <v>400</v>
      </c>
      <c r="H119" s="436" t="s">
        <v>762</v>
      </c>
      <c r="I119" s="436" t="s">
        <v>763</v>
      </c>
      <c r="J119" s="471">
        <f>J105*P135</f>
        <v>105616142.20514052</v>
      </c>
      <c r="K119" s="460" t="s">
        <v>764</v>
      </c>
      <c r="M119" s="465" t="s">
        <v>386</v>
      </c>
      <c r="N119" s="466" t="s">
        <v>452</v>
      </c>
      <c r="O119" s="466" t="s">
        <v>453</v>
      </c>
      <c r="P119" s="463">
        <v>7</v>
      </c>
      <c r="Q119" s="476" t="s">
        <v>454</v>
      </c>
      <c r="S119" s="487" t="s">
        <v>1028</v>
      </c>
      <c r="T119" s="488" t="s">
        <v>1029</v>
      </c>
      <c r="U119" s="489" t="s">
        <v>1030</v>
      </c>
      <c r="V119" s="490" t="s">
        <v>976</v>
      </c>
      <c r="W119" s="467" t="str">
        <f>"0x"&amp;DEC2HEX(D116*D129)</f>
        <v>0xABC</v>
      </c>
      <c r="X119" s="779"/>
    </row>
    <row r="120" spans="1:24" ht="40.5" hidden="1">
      <c r="A120" s="436" t="s">
        <v>1031</v>
      </c>
      <c r="B120" s="436" t="s">
        <v>796</v>
      </c>
      <c r="C120" s="447" t="s">
        <v>594</v>
      </c>
      <c r="D120" s="437">
        <v>1000</v>
      </c>
      <c r="E120" s="438" t="s">
        <v>797</v>
      </c>
      <c r="G120" s="448" t="s">
        <v>401</v>
      </c>
      <c r="H120" s="189" t="s">
        <v>767</v>
      </c>
      <c r="I120" s="436" t="s">
        <v>768</v>
      </c>
      <c r="J120" s="464">
        <f>J105*P143</f>
        <v>110089038.3537513</v>
      </c>
      <c r="K120" s="460" t="s">
        <v>764</v>
      </c>
      <c r="M120" s="465" t="s">
        <v>387</v>
      </c>
      <c r="N120" s="466" t="s">
        <v>462</v>
      </c>
      <c r="O120" s="466" t="s">
        <v>463</v>
      </c>
      <c r="P120" s="463">
        <v>1</v>
      </c>
      <c r="Q120" s="476" t="s">
        <v>454</v>
      </c>
      <c r="S120" s="487" t="s">
        <v>1032</v>
      </c>
      <c r="T120" s="488" t="s">
        <v>1033</v>
      </c>
      <c r="U120" s="489" t="s">
        <v>1034</v>
      </c>
      <c r="V120" s="490" t="s">
        <v>1035</v>
      </c>
      <c r="W120" s="467" t="str">
        <f>"0x"&amp;DEC2HEX(D113)</f>
        <v>0x0</v>
      </c>
      <c r="X120" s="779"/>
    </row>
    <row r="121" spans="1:24" ht="67.5" hidden="1">
      <c r="A121" s="436" t="s">
        <v>1036</v>
      </c>
      <c r="B121" s="436" t="s">
        <v>221</v>
      </c>
      <c r="C121" s="447">
        <v>1500</v>
      </c>
      <c r="D121" s="437">
        <f>C13</f>
        <v>1500</v>
      </c>
      <c r="E121" s="438" t="s">
        <v>454</v>
      </c>
      <c r="G121" s="448" t="s">
        <v>402</v>
      </c>
      <c r="H121" s="189" t="s">
        <v>772</v>
      </c>
      <c r="I121" s="436" t="s">
        <v>773</v>
      </c>
      <c r="J121" s="464">
        <f>1250*D120*(100-D123)</f>
        <v>112500000</v>
      </c>
      <c r="K121" s="460" t="s">
        <v>764</v>
      </c>
      <c r="M121" s="465" t="s">
        <v>388</v>
      </c>
      <c r="N121" s="466" t="s">
        <v>470</v>
      </c>
      <c r="O121" s="466" t="s">
        <v>471</v>
      </c>
      <c r="P121" s="463">
        <v>14</v>
      </c>
      <c r="Q121" s="476" t="s">
        <v>454</v>
      </c>
      <c r="S121" s="487" t="s">
        <v>1037</v>
      </c>
      <c r="T121" s="488" t="s">
        <v>1038</v>
      </c>
      <c r="U121" s="489" t="s">
        <v>1039</v>
      </c>
      <c r="V121" s="490" t="s">
        <v>1040</v>
      </c>
      <c r="W121" s="467" t="str">
        <f>"0x"&amp;DEC2HEX(D114)</f>
        <v>0x0</v>
      </c>
      <c r="X121" s="779"/>
    </row>
    <row r="122" spans="1:24" ht="40.5" hidden="1">
      <c r="A122" s="436" t="str">
        <f>"流通道包间隔1(不包括12B最小值的部分) 
范围:0-"&amp;J123</f>
        <v>流通道包间隔1(不包括12B最小值的部分) 
范围:0-29669</v>
      </c>
      <c r="B122" s="436" t="s">
        <v>223</v>
      </c>
      <c r="C122" s="447">
        <v>0</v>
      </c>
      <c r="D122" s="437">
        <f>C14</f>
        <v>0</v>
      </c>
      <c r="E122" s="438" t="s">
        <v>454</v>
      </c>
      <c r="G122" s="783" t="s">
        <v>600</v>
      </c>
      <c r="H122" s="781"/>
      <c r="I122" s="781"/>
      <c r="J122" s="781"/>
      <c r="K122" s="782"/>
      <c r="M122" s="465" t="s">
        <v>389</v>
      </c>
      <c r="N122" s="466" t="s">
        <v>479</v>
      </c>
      <c r="O122" s="466" t="s">
        <v>480</v>
      </c>
      <c r="P122" s="463">
        <v>20</v>
      </c>
      <c r="Q122" s="476" t="s">
        <v>454</v>
      </c>
      <c r="S122" s="487" t="s">
        <v>1041</v>
      </c>
      <c r="T122" s="488" t="s">
        <v>1042</v>
      </c>
      <c r="U122" s="489" t="s">
        <v>1043</v>
      </c>
      <c r="V122" s="490" t="s">
        <v>1044</v>
      </c>
      <c r="W122" s="467" t="str">
        <f>"0x"&amp;DEC2HEX(D115)</f>
        <v>0xF00</v>
      </c>
      <c r="X122" s="779"/>
    </row>
    <row r="123" spans="1:24" ht="175.5" hidden="1">
      <c r="A123" s="436" t="str">
        <f>"预留带宽1 
范围:0-"&amp;J125</f>
        <v>预留带宽1 
范围:0-95</v>
      </c>
      <c r="B123" s="436" t="s">
        <v>233</v>
      </c>
      <c r="C123" s="447">
        <v>10</v>
      </c>
      <c r="D123" s="437">
        <f>C19</f>
        <v>10</v>
      </c>
      <c r="E123" s="438" t="s">
        <v>614</v>
      </c>
      <c r="G123" s="448" t="s">
        <v>403</v>
      </c>
      <c r="H123" s="190" t="s">
        <v>1045</v>
      </c>
      <c r="I123" s="436" t="s">
        <v>1046</v>
      </c>
      <c r="J123" s="464">
        <f>IF(ROUNDDOWN((P146-5*(P143+P141+P142))/(P137+P139+2)/5,0)-P126&lt;180000,ROUNDDOWN((P146-5*(P143+P141+P142))/(P137+P139+2)/5,0)-P126,180000)</f>
        <v>29669</v>
      </c>
      <c r="K123" s="460" t="s">
        <v>454</v>
      </c>
      <c r="M123" s="465" t="s">
        <v>390</v>
      </c>
      <c r="N123" s="466" t="s">
        <v>489</v>
      </c>
      <c r="O123" s="466" t="s">
        <v>490</v>
      </c>
      <c r="P123" s="463">
        <v>8</v>
      </c>
      <c r="Q123" s="476" t="s">
        <v>454</v>
      </c>
      <c r="S123" s="477" t="s">
        <v>1047</v>
      </c>
      <c r="T123" s="485" t="s">
        <v>1048</v>
      </c>
      <c r="U123" s="486" t="s">
        <v>1049</v>
      </c>
      <c r="V123" s="441" t="s">
        <v>1050</v>
      </c>
      <c r="W123" s="467" t="str">
        <f>"0x"&amp;DEC2HEX(D116)</f>
        <v>0xABC</v>
      </c>
      <c r="X123" s="780"/>
    </row>
    <row r="124" spans="1:24" ht="54" hidden="1">
      <c r="A124" s="781" t="s">
        <v>552</v>
      </c>
      <c r="B124" s="781"/>
      <c r="C124" s="781"/>
      <c r="D124" s="781"/>
      <c r="E124" s="782"/>
      <c r="G124" s="783" t="s">
        <v>609</v>
      </c>
      <c r="H124" s="781"/>
      <c r="I124" s="781"/>
      <c r="J124" s="781"/>
      <c r="K124" s="782"/>
      <c r="M124" s="465" t="s">
        <v>391</v>
      </c>
      <c r="N124" s="466" t="s">
        <v>494</v>
      </c>
      <c r="O124" s="466" t="s">
        <v>490</v>
      </c>
      <c r="P124" s="463">
        <v>8</v>
      </c>
      <c r="Q124" s="476" t="s">
        <v>454</v>
      </c>
      <c r="S124" s="491" t="s">
        <v>854</v>
      </c>
      <c r="T124" s="452" t="s">
        <v>855</v>
      </c>
      <c r="U124" s="490" t="s">
        <v>1051</v>
      </c>
      <c r="V124" s="452" t="s">
        <v>856</v>
      </c>
      <c r="W124" s="492" t="str">
        <f>"0x"&amp;DEC2HEX(D121-P127)</f>
        <v>0x5B8</v>
      </c>
      <c r="X124" s="493" t="s">
        <v>857</v>
      </c>
    </row>
    <row r="125" spans="1:24" ht="94.5" hidden="1">
      <c r="A125" s="436" t="s">
        <v>1052</v>
      </c>
      <c r="B125" s="436" t="s">
        <v>558</v>
      </c>
      <c r="C125" s="436">
        <v>0</v>
      </c>
      <c r="D125" s="437">
        <f>C17</f>
        <v>0</v>
      </c>
      <c r="E125" s="438" t="s">
        <v>594</v>
      </c>
      <c r="G125" s="449" t="s">
        <v>404</v>
      </c>
      <c r="H125" s="191" t="s">
        <v>1053</v>
      </c>
      <c r="I125" s="472" t="s">
        <v>1054</v>
      </c>
      <c r="J125" s="473">
        <f>IF((100-ROUNDDOWN(50*P145/(125000*D120),0)-1)&lt;0,0,(100-ROUNDDOWN(50*P145/(125000*D120),0)-1))</f>
        <v>95</v>
      </c>
      <c r="K125" s="474" t="s">
        <v>614</v>
      </c>
      <c r="M125" s="465" t="s">
        <v>392</v>
      </c>
      <c r="N125" s="466" t="s">
        <v>498</v>
      </c>
      <c r="O125" s="466" t="s">
        <v>499</v>
      </c>
      <c r="P125" s="463">
        <v>4</v>
      </c>
      <c r="Q125" s="476" t="s">
        <v>454</v>
      </c>
      <c r="S125" s="494" t="s">
        <v>860</v>
      </c>
      <c r="T125" s="436" t="s">
        <v>861</v>
      </c>
      <c r="U125" s="441" t="s">
        <v>1055</v>
      </c>
      <c r="V125" s="436" t="s">
        <v>862</v>
      </c>
      <c r="W125" s="464" t="str">
        <f>"0x"&amp;DEC2HEX(D122)</f>
        <v>0x0</v>
      </c>
      <c r="X125" s="495" t="s">
        <v>863</v>
      </c>
    </row>
    <row r="126" spans="1:24" ht="81" hidden="1">
      <c r="A126" s="436" t="s">
        <v>1056</v>
      </c>
      <c r="B126" s="446" t="s">
        <v>565</v>
      </c>
      <c r="C126" s="436">
        <v>10</v>
      </c>
      <c r="D126" s="437">
        <f>C16</f>
        <v>10.1</v>
      </c>
      <c r="E126" s="438" t="s">
        <v>488</v>
      </c>
      <c r="M126" s="465" t="s">
        <v>331</v>
      </c>
      <c r="N126" s="466" t="s">
        <v>330</v>
      </c>
      <c r="O126" s="466" t="s">
        <v>504</v>
      </c>
      <c r="P126" s="463">
        <v>12</v>
      </c>
      <c r="Q126" s="476" t="s">
        <v>454</v>
      </c>
      <c r="S126" s="480" t="s">
        <v>864</v>
      </c>
      <c r="T126" s="481" t="s">
        <v>865</v>
      </c>
      <c r="U126" s="481" t="s">
        <v>1057</v>
      </c>
      <c r="V126" s="481" t="s">
        <v>1058</v>
      </c>
      <c r="W126" s="496" t="str">
        <f>"0x"&amp;DEC2HEX(ROUNDUP((J103-D115/P111*1000000/P112)/(1000000/P112),0))</f>
        <v>0x348</v>
      </c>
      <c r="X126" s="497" t="s">
        <v>1059</v>
      </c>
    </row>
    <row r="127" spans="1:24" ht="27" hidden="1">
      <c r="A127" s="781" t="s">
        <v>1060</v>
      </c>
      <c r="B127" s="781"/>
      <c r="C127" s="781"/>
      <c r="D127" s="781"/>
      <c r="E127" s="782"/>
      <c r="M127" s="465" t="s">
        <v>341</v>
      </c>
      <c r="N127" s="436" t="s">
        <v>511</v>
      </c>
      <c r="O127" s="466" t="s">
        <v>512</v>
      </c>
      <c r="P127" s="463">
        <f>P122+P123+P124</f>
        <v>36</v>
      </c>
      <c r="Q127" s="476" t="s">
        <v>454</v>
      </c>
      <c r="V127" s="432"/>
    </row>
    <row r="128" spans="1:24" ht="27" hidden="1">
      <c r="A128" s="450" t="s">
        <v>1061</v>
      </c>
      <c r="B128" s="451" t="s">
        <v>1062</v>
      </c>
      <c r="C128" s="452">
        <v>1</v>
      </c>
      <c r="D128" s="453">
        <f>MAX(C6,C8)</f>
        <v>1</v>
      </c>
      <c r="E128" s="454"/>
      <c r="M128" s="465" t="s">
        <v>343</v>
      </c>
      <c r="N128" s="436" t="s">
        <v>519</v>
      </c>
      <c r="O128" s="466" t="s">
        <v>520</v>
      </c>
      <c r="P128" s="463">
        <f>P119+P120+P121+P125</f>
        <v>26</v>
      </c>
      <c r="Q128" s="476" t="s">
        <v>454</v>
      </c>
      <c r="S128" s="431"/>
      <c r="T128" s="432"/>
      <c r="U128" s="432"/>
      <c r="V128" s="432"/>
      <c r="W128" s="432"/>
    </row>
    <row r="129" spans="1:23" ht="27" hidden="1">
      <c r="A129" s="450" t="s">
        <v>1063</v>
      </c>
      <c r="B129" s="451" t="s">
        <v>1064</v>
      </c>
      <c r="C129" s="452">
        <v>1</v>
      </c>
      <c r="D129" s="453">
        <f>MAX(C7,C9)</f>
        <v>1</v>
      </c>
      <c r="E129" s="454"/>
      <c r="M129" s="465" t="s">
        <v>345</v>
      </c>
      <c r="N129" s="466" t="s">
        <v>344</v>
      </c>
      <c r="O129" s="466" t="s">
        <v>525</v>
      </c>
      <c r="P129" s="463">
        <f>64-P121-P125-P127</f>
        <v>10</v>
      </c>
      <c r="Q129" s="476" t="s">
        <v>454</v>
      </c>
      <c r="S129" s="431"/>
      <c r="T129" s="432"/>
      <c r="U129" s="432"/>
      <c r="V129" s="432"/>
      <c r="W129" s="432"/>
    </row>
    <row r="130" spans="1:23" ht="15.75" hidden="1">
      <c r="A130" s="784" t="s">
        <v>272</v>
      </c>
      <c r="B130" s="785"/>
      <c r="C130" s="785"/>
      <c r="D130" s="785"/>
      <c r="E130" s="786"/>
      <c r="M130" s="783" t="s">
        <v>868</v>
      </c>
      <c r="N130" s="781"/>
      <c r="O130" s="781"/>
      <c r="P130" s="781"/>
      <c r="Q130" s="782"/>
    </row>
    <row r="131" spans="1:23" ht="27" hidden="1">
      <c r="A131" s="498" t="s">
        <v>949</v>
      </c>
      <c r="B131" s="775" t="s">
        <v>407</v>
      </c>
      <c r="C131" s="775"/>
      <c r="D131" s="776">
        <f>J105</f>
        <v>10.008807750820722</v>
      </c>
      <c r="E131" s="777"/>
      <c r="M131" s="435" t="s">
        <v>444</v>
      </c>
      <c r="N131" s="433" t="s">
        <v>438</v>
      </c>
      <c r="O131" s="433" t="s">
        <v>447</v>
      </c>
      <c r="P131" s="433" t="s">
        <v>688</v>
      </c>
      <c r="Q131" s="475" t="s">
        <v>449</v>
      </c>
    </row>
    <row r="132" spans="1:23" ht="27" hidden="1">
      <c r="D132" s="430"/>
      <c r="E132" s="430"/>
      <c r="M132" s="465" t="s">
        <v>393</v>
      </c>
      <c r="N132" s="436" t="s">
        <v>874</v>
      </c>
      <c r="O132" s="466" t="s">
        <v>543</v>
      </c>
      <c r="P132" s="463">
        <f>36</f>
        <v>36</v>
      </c>
      <c r="Q132" s="476" t="s">
        <v>454</v>
      </c>
    </row>
    <row r="133" spans="1:23" ht="40.5" hidden="1">
      <c r="D133" s="430"/>
      <c r="E133" s="430"/>
      <c r="M133" s="465" t="s">
        <v>394</v>
      </c>
      <c r="N133" s="436" t="s">
        <v>877</v>
      </c>
      <c r="O133" s="466" t="s">
        <v>548</v>
      </c>
      <c r="P133" s="463">
        <v>10</v>
      </c>
      <c r="Q133" s="476" t="s">
        <v>454</v>
      </c>
    </row>
    <row r="134" spans="1:23" ht="27" hidden="1">
      <c r="A134" s="430"/>
      <c r="B134" s="430"/>
      <c r="C134" s="430"/>
      <c r="D134" s="430"/>
      <c r="E134" s="430"/>
      <c r="M134" s="440" t="s">
        <v>395</v>
      </c>
      <c r="N134" s="441" t="s">
        <v>882</v>
      </c>
      <c r="O134" s="441" t="s">
        <v>883</v>
      </c>
      <c r="P134" s="467">
        <v>48</v>
      </c>
      <c r="Q134" s="503" t="s">
        <v>454</v>
      </c>
    </row>
    <row r="135" spans="1:23" ht="27" hidden="1">
      <c r="A135" s="430"/>
      <c r="B135" s="430"/>
      <c r="C135" s="430"/>
      <c r="D135" s="430"/>
      <c r="E135" s="430"/>
      <c r="M135" s="439" t="s">
        <v>337</v>
      </c>
      <c r="N135" s="436" t="s">
        <v>884</v>
      </c>
      <c r="O135" s="436" t="s">
        <v>885</v>
      </c>
      <c r="P135" s="471">
        <f>D115*D116*IF(D103=8,1,2)</f>
        <v>10552320</v>
      </c>
      <c r="Q135" s="476" t="s">
        <v>454</v>
      </c>
    </row>
    <row r="136" spans="1:23" ht="27" hidden="1">
      <c r="M136" s="465" t="s">
        <v>339</v>
      </c>
      <c r="N136" s="436" t="s">
        <v>886</v>
      </c>
      <c r="O136" s="436" t="s">
        <v>887</v>
      </c>
      <c r="P136" s="499">
        <f>P135+P134*D118</f>
        <v>10552320</v>
      </c>
      <c r="Q136" s="476" t="s">
        <v>454</v>
      </c>
    </row>
    <row r="137" spans="1:23" ht="40.5" hidden="1">
      <c r="M137" s="465" t="s">
        <v>347</v>
      </c>
      <c r="N137" s="436" t="s">
        <v>346</v>
      </c>
      <c r="O137" s="466" t="s">
        <v>570</v>
      </c>
      <c r="P137" s="500">
        <f>INT(P136/(D121-P127))</f>
        <v>7207</v>
      </c>
      <c r="Q137" s="476"/>
    </row>
    <row r="138" spans="1:23" ht="54" hidden="1">
      <c r="M138" s="465" t="s">
        <v>349</v>
      </c>
      <c r="N138" s="436" t="s">
        <v>888</v>
      </c>
      <c r="O138" s="466" t="s">
        <v>577</v>
      </c>
      <c r="P138" s="500">
        <f>P136-(D121-P127)*P137</f>
        <v>1272</v>
      </c>
      <c r="Q138" s="476" t="s">
        <v>454</v>
      </c>
    </row>
    <row r="139" spans="1:23" ht="27" hidden="1">
      <c r="M139" s="461" t="s">
        <v>348</v>
      </c>
      <c r="N139" s="446" t="s">
        <v>245</v>
      </c>
      <c r="O139" s="462" t="s">
        <v>580</v>
      </c>
      <c r="P139" s="463">
        <f>IF(MOD(P135,(D121-P127))=0,0,1)</f>
        <v>1</v>
      </c>
      <c r="Q139" s="476"/>
    </row>
    <row r="140" spans="1:23" ht="54" hidden="1">
      <c r="M140" s="465" t="s">
        <v>351</v>
      </c>
      <c r="N140" s="436" t="s">
        <v>889</v>
      </c>
      <c r="O140" s="462" t="s">
        <v>584</v>
      </c>
      <c r="P140" s="500">
        <f>IF(P138&lt;P129,P129,P138)</f>
        <v>1272</v>
      </c>
      <c r="Q140" s="476" t="s">
        <v>454</v>
      </c>
    </row>
    <row r="141" spans="1:23" ht="27" hidden="1">
      <c r="M141" s="461" t="s">
        <v>353</v>
      </c>
      <c r="N141" s="446" t="s">
        <v>890</v>
      </c>
      <c r="O141" s="462" t="s">
        <v>586</v>
      </c>
      <c r="P141" s="500">
        <f>P128+P127+P132</f>
        <v>98</v>
      </c>
      <c r="Q141" s="476" t="s">
        <v>454</v>
      </c>
    </row>
    <row r="142" spans="1:23" ht="27" hidden="1">
      <c r="M142" s="461" t="s">
        <v>355</v>
      </c>
      <c r="N142" s="446" t="s">
        <v>891</v>
      </c>
      <c r="O142" s="462" t="s">
        <v>892</v>
      </c>
      <c r="P142" s="500">
        <f>P128+P127+P133</f>
        <v>72</v>
      </c>
      <c r="Q142" s="476" t="s">
        <v>454</v>
      </c>
    </row>
    <row r="143" spans="1:23" ht="81" hidden="1">
      <c r="M143" s="461" t="s">
        <v>357</v>
      </c>
      <c r="N143" s="446" t="s">
        <v>246</v>
      </c>
      <c r="O143" s="462" t="s">
        <v>893</v>
      </c>
      <c r="P143" s="500">
        <f>P137*(D121+P128)+P139*(P140+P128+P127)</f>
        <v>10999216</v>
      </c>
      <c r="Q143" s="476" t="s">
        <v>454</v>
      </c>
    </row>
    <row r="144" spans="1:23" ht="54" hidden="1">
      <c r="M144" s="445" t="s">
        <v>358</v>
      </c>
      <c r="N144" s="446" t="s">
        <v>894</v>
      </c>
      <c r="O144" s="446" t="s">
        <v>895</v>
      </c>
      <c r="P144" s="501">
        <f>(2+P139+P137)*(P126+D122)</f>
        <v>86520</v>
      </c>
      <c r="Q144" s="460" t="s">
        <v>454</v>
      </c>
      <c r="S144" s="432"/>
      <c r="T144" s="432"/>
      <c r="U144" s="432"/>
    </row>
    <row r="145" spans="13:23" ht="40.5" hidden="1">
      <c r="M145" s="439" t="s">
        <v>359</v>
      </c>
      <c r="N145" s="436" t="s">
        <v>896</v>
      </c>
      <c r="O145" s="436" t="s">
        <v>607</v>
      </c>
      <c r="P145" s="471">
        <f>P141+P142+P143+P144</f>
        <v>11085906</v>
      </c>
      <c r="Q145" s="460" t="s">
        <v>454</v>
      </c>
      <c r="S145" s="431"/>
      <c r="T145" s="432"/>
      <c r="U145" s="432"/>
    </row>
    <row r="146" spans="13:23" ht="27" hidden="1">
      <c r="M146" s="445" t="s">
        <v>361</v>
      </c>
      <c r="N146" s="446" t="s">
        <v>360</v>
      </c>
      <c r="O146" s="446" t="s">
        <v>897</v>
      </c>
      <c r="P146" s="464">
        <f>INT(1000000*D120*(100-D123)/80)</f>
        <v>1125000000</v>
      </c>
      <c r="Q146" s="504" t="s">
        <v>898</v>
      </c>
      <c r="S146" s="431"/>
      <c r="T146" s="432"/>
      <c r="U146" s="432"/>
      <c r="V146" s="432"/>
      <c r="W146" s="432"/>
    </row>
    <row r="147" spans="13:23" ht="67.5" hidden="1">
      <c r="M147" s="502" t="s">
        <v>363</v>
      </c>
      <c r="N147" s="472" t="s">
        <v>362</v>
      </c>
      <c r="O147" s="472" t="s">
        <v>900</v>
      </c>
      <c r="P147" s="473">
        <f>ROUNDUP(ROUNDUP(P145*1000000000/P146,0)*10/J103,0)</f>
        <v>2857</v>
      </c>
      <c r="Q147" s="505" t="str">
        <f>IF(D106="Ultra Short","us","line")</f>
        <v>line</v>
      </c>
      <c r="S147" s="431"/>
      <c r="T147" s="432"/>
      <c r="V147" s="432"/>
      <c r="W147" s="432"/>
    </row>
  </sheetData>
  <sheetProtection algorithmName="SHA-512" hashValue="rHTu1DYr/RflW4ILWNMWQB/JCieAMu8Ph6v6/KieVBwos2P4K6OyKjYCQG557sUgM2mG2fwhIvFQsdln15Gvdw==" saltValue="paz8i8mTUAlyIpEQFScq/w==" spinCount="100000" sheet="1" objects="1" scenarios="1"/>
  <mergeCells count="29">
    <mergeCell ref="A100:E100"/>
    <mergeCell ref="G100:K100"/>
    <mergeCell ref="M100:Q100"/>
    <mergeCell ref="S100:X100"/>
    <mergeCell ref="M101:Q101"/>
    <mergeCell ref="S101:X101"/>
    <mergeCell ref="A102:E102"/>
    <mergeCell ref="G102:K102"/>
    <mergeCell ref="A104:E104"/>
    <mergeCell ref="G106:K106"/>
    <mergeCell ref="A108:E108"/>
    <mergeCell ref="A110:E110"/>
    <mergeCell ref="A112:E112"/>
    <mergeCell ref="G112:K112"/>
    <mergeCell ref="M113:Q113"/>
    <mergeCell ref="S113:X113"/>
    <mergeCell ref="B131:C131"/>
    <mergeCell ref="D131:E131"/>
    <mergeCell ref="X116:X123"/>
    <mergeCell ref="A124:E124"/>
    <mergeCell ref="G124:K124"/>
    <mergeCell ref="A127:E127"/>
    <mergeCell ref="A130:E130"/>
    <mergeCell ref="M130:Q130"/>
    <mergeCell ref="A117:E117"/>
    <mergeCell ref="M117:Q117"/>
    <mergeCell ref="G118:K118"/>
    <mergeCell ref="A119:E119"/>
    <mergeCell ref="G122:K122"/>
  </mergeCells>
  <phoneticPr fontId="37" type="noConversion"/>
  <dataValidations count="34">
    <dataValidation type="list" allowBlank="1" showInputMessage="1" showErrorMessage="1" error="Please enter a 0 or 1" promptTitle="0=off，1=on" sqref="C17 C21">
      <formula1>"0,1"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="Please enter 8 or 12" sqref="C12">
      <formula1>OR((C12=8),(C12=12))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Input range:[8, 'WidthMax'],and is an integer multiple of 8" sqref="C4">
      <formula1>AND((C4&lt;=C2),(C4&gt;=8),(MOD(C4,8)=0))</formula1>
    </dataValidation>
    <dataValidation type="whole" allowBlank="1" showErrorMessage="1" error="设置值超过最大值" prompt="应在包间隔范围内" sqref="C15">
      <formula1>0</formula1>
      <formula2>C67</formula2>
    </dataValidation>
    <dataValidation type="custom" allowBlank="1" showInputMessage="1" showErrorMessage="1" error="Input range:[2, 'HeightMax'],and is an integer multiple of 2" sqref="C5">
      <formula1>AND((C5&lt;=C3),(C5&gt;=2),(MOD(C5,2)=0))</formula1>
    </dataValidation>
    <dataValidation type="whole" allowBlank="1" showInputMessage="1" showErrorMessage="1" error="输入范围是[0,5000]，单位为us" sqref="C11">
      <formula1>0</formula1>
      <formula2>5000</formula2>
    </dataValidation>
    <dataValidation type="whole" allowBlank="1" showInputMessage="1" showErrorMessage="1" error="The input range :[42,15000000]" sqref="C10">
      <formula1>42</formula1>
      <formula2>15000000</formula2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Title="输入数值非法" error="最小值2，最大值取决于垂直binning/skipping以及垂直偏移值，步长为2" sqref="D116">
      <formula1>AND(D116&gt;=2,D116&lt;=(C116/D129-D114),MOD(D116,2)=0)</formula1>
    </dataValidation>
    <dataValidation type="decimal" allowBlank="1" showErrorMessage="1" error="Set the value range :[ 0.5,10000.0], accurate to one decimal" promptTitle="0=off，1=on" prompt="0表示连续采集，1表示触发采集" sqref="C16">
      <formula1>0.5</formula1>
      <formula2>10000</formula2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whole" allowBlank="1" error="设置值超过包间隔范围" prompt="设置值应在预留带宽范围内" sqref="C20">
      <formula1>0</formula1>
      <formula2>C71</formula2>
    </dataValidation>
    <dataValidation type="list" allowBlank="1" showInputMessage="1" showErrorMessage="1" sqref="D103">
      <formula1>"8,12"</formula1>
    </dataValidation>
    <dataValidation type="list" allowBlank="1" showInputMessage="1" showErrorMessage="1" errorTitle="超出范围" error="曝光时间的范围是63us-1s" sqref="D106">
      <formula1>"Standard"</formula1>
    </dataValidation>
    <dataValidation type="whole" allowBlank="1" showInputMessage="1" showErrorMessage="1" errorTitle="超出范围" error="极小曝光模式的范围是1us-100us_x000a_普通曝光模式的范围是20us-1s" sqref="D107">
      <formula1>42</formula1>
      <formula2>2200000</formula2>
    </dataValidation>
    <dataValidation type="list" allowBlank="1" showInputMessage="1" showErrorMessage="1" errorTitle="超出范围" error="曝光时间的范围是20us-1s" sqref="D109">
      <formula1>"0,1"</formula1>
    </dataValidation>
    <dataValidation type="whole" allowBlank="1" showInputMessage="1" showErrorMessage="1" errorTitle="超出范围" error="触发延时的范围是0-3000000us" sqref="D111">
      <formula1>0</formula1>
      <formula2>3000000</formula2>
    </dataValidation>
    <dataValidation type="custom" allowBlank="1" showInputMessage="1" showErrorMessage="1" sqref="D113">
      <formula1>AND(D113&gt;=0,D113&lt;(C115/D128-D115),MOD(D113,8)=0)</formula1>
    </dataValidation>
    <dataValidation type="custom" allowBlank="1" showInputMessage="1" showErrorMessage="1" sqref="D114">
      <formula1>AND(D114&gt;=0,D114&lt;=(C116/D129-D116),MOD(D114,2)=0)</formula1>
    </dataValidation>
    <dataValidation type="custom" allowBlank="1" showInputMessage="1" showErrorMessage="1" errorTitle="输入数值非法" error="最小值8，最大值取决于水平binning/skipping以及水平偏移值，步长为8" sqref="D115">
      <formula1>AND(D115&gt;=8,D115&lt;=(C115/D128-D113),MOD(D115,8)=0)</formula1>
    </dataValidation>
    <dataValidation type="list" allowBlank="1" showInputMessage="1" showErrorMessage="1" sqref="D118">
      <formula1>"0,1"</formula1>
    </dataValidation>
    <dataValidation type="list" allowBlank="1" showInputMessage="1" showErrorMessage="1" sqref="D120">
      <formula1>"1000,100"</formula1>
    </dataValidation>
    <dataValidation type="custom" allowBlank="1" showInputMessage="1" showErrorMessage="1" sqref="D121">
      <formula1>AND(MOD(D121,4)=0,D121&gt;=512,D121&lt;=16384)</formula1>
    </dataValidation>
    <dataValidation type="whole" allowBlank="1" showInputMessage="1" showErrorMessage="1" errorTitle="设置值超出范围" error="包间隔设置值超出范围" sqref="D122">
      <formula1>0</formula1>
      <formula2>J123</formula2>
    </dataValidation>
    <dataValidation type="whole" allowBlank="1" showInputMessage="1" showErrorMessage="1" errorTitle="设置值超出范围" error="预留带宽设置值超出范围" sqref="D123">
      <formula1>0</formula1>
      <formula2>J125</formula2>
    </dataValidation>
    <dataValidation type="list" allowBlank="1" showInputMessage="1" showErrorMessage="1" errorTitle="超出范围" error="0:关闭_x000a_1:打开" sqref="D125">
      <formula1>"0,1"</formula1>
    </dataValidation>
    <dataValidation type="decimal" allowBlank="1" showInputMessage="1" showErrorMessage="1" sqref="D126">
      <formula1>0.1</formula1>
      <formula2>10000</formula2>
    </dataValidation>
    <dataValidation type="custom" allowBlank="1" showInputMessage="1" showErrorMessage="1" error="Please enter 1 or 2" sqref="C6:C7">
      <formula1>AND(OR((C6=1),(C6=2)),C8=1)</formula1>
    </dataValidation>
    <dataValidation type="custom" allowBlank="1" showInputMessage="1" showErrorMessage="1" error="Please enter 1 or 2" sqref="C8:C9">
      <formula1>AND(OR((C8=1),(C8=2)),C6=1)</formula1>
    </dataValidation>
    <dataValidation type="list" allowBlank="1" showInputMessage="1" showErrorMessage="1" sqref="D128:D129">
      <formula1>"1,2"</formula1>
    </dataValidation>
  </dataValidations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B1" workbookViewId="0">
      <selection activeCell="C18" sqref="C18"/>
    </sheetView>
  </sheetViews>
  <sheetFormatPr defaultColWidth="9" defaultRowHeight="13.5"/>
  <cols>
    <col min="1" max="1" width="32.125" style="116" hidden="1" customWidth="1"/>
    <col min="2" max="2" width="30.875" style="116" customWidth="1"/>
    <col min="3" max="3" width="18.625" style="116" customWidth="1"/>
    <col min="4" max="4" width="10.5" style="116" customWidth="1"/>
    <col min="5" max="8" width="9" style="116"/>
    <col min="9" max="9" width="9" style="116" customWidth="1"/>
    <col min="10" max="10" width="38.75" style="116" hidden="1" customWidth="1"/>
    <col min="11" max="11" width="9" style="116" hidden="1" customWidth="1"/>
    <col min="12" max="15" width="9" style="116" customWidth="1"/>
    <col min="16" max="16384" width="9" style="116"/>
  </cols>
  <sheetData>
    <row r="1" spans="1:6">
      <c r="A1" s="121" t="s">
        <v>197</v>
      </c>
      <c r="B1" s="121"/>
      <c r="C1" s="122"/>
    </row>
    <row r="2" spans="1:6">
      <c r="A2" s="121" t="s">
        <v>198</v>
      </c>
      <c r="B2" s="121" t="s">
        <v>199</v>
      </c>
      <c r="C2" s="121">
        <f>C55</f>
        <v>4024</v>
      </c>
    </row>
    <row r="3" spans="1:6">
      <c r="A3" s="121" t="s">
        <v>200</v>
      </c>
      <c r="B3" s="121" t="s">
        <v>201</v>
      </c>
      <c r="C3" s="121">
        <f>C56</f>
        <v>3036</v>
      </c>
    </row>
    <row r="4" spans="1:6">
      <c r="A4" s="121" t="s">
        <v>202</v>
      </c>
      <c r="B4" s="121" t="s">
        <v>203</v>
      </c>
      <c r="C4" s="122">
        <v>4024</v>
      </c>
      <c r="D4" s="123" t="str">
        <f>IF(OR(C4&gt;C2,C4&lt;8),J75,"")</f>
        <v/>
      </c>
    </row>
    <row r="5" spans="1:6">
      <c r="A5" s="121" t="s">
        <v>204</v>
      </c>
      <c r="B5" s="121" t="s">
        <v>205</v>
      </c>
      <c r="C5" s="122">
        <v>3036</v>
      </c>
      <c r="D5" s="123" t="str">
        <f>IF(OR(C5&gt;C3,C5&lt;2),J76,"")</f>
        <v/>
      </c>
    </row>
    <row r="6" spans="1:6">
      <c r="A6" s="121" t="s">
        <v>206</v>
      </c>
      <c r="B6" s="121" t="s">
        <v>207</v>
      </c>
      <c r="C6" s="122">
        <v>1</v>
      </c>
    </row>
    <row r="7" spans="1:6">
      <c r="A7" s="121" t="s">
        <v>208</v>
      </c>
      <c r="B7" s="121" t="s">
        <v>209</v>
      </c>
      <c r="C7" s="122">
        <v>1</v>
      </c>
    </row>
    <row r="8" spans="1:6">
      <c r="A8" s="121" t="s">
        <v>210</v>
      </c>
      <c r="B8" s="121" t="s">
        <v>211</v>
      </c>
      <c r="C8" s="122">
        <v>1</v>
      </c>
    </row>
    <row r="9" spans="1:6">
      <c r="A9" s="121" t="s">
        <v>212</v>
      </c>
      <c r="B9" s="121" t="s">
        <v>213</v>
      </c>
      <c r="C9" s="122">
        <v>1</v>
      </c>
    </row>
    <row r="10" spans="1:6">
      <c r="A10" s="121" t="s">
        <v>214</v>
      </c>
      <c r="B10" s="121" t="s">
        <v>215</v>
      </c>
      <c r="C10" s="122">
        <v>60000</v>
      </c>
    </row>
    <row r="11" spans="1:6">
      <c r="A11" s="121" t="s">
        <v>216</v>
      </c>
      <c r="B11" s="121" t="s">
        <v>217</v>
      </c>
      <c r="C11" s="122">
        <v>0</v>
      </c>
    </row>
    <row r="12" spans="1:6">
      <c r="A12" s="121" t="s">
        <v>218</v>
      </c>
      <c r="B12" s="121" t="s">
        <v>219</v>
      </c>
      <c r="C12" s="122">
        <v>8</v>
      </c>
      <c r="F12" s="116" t="s">
        <v>930</v>
      </c>
    </row>
    <row r="13" spans="1:6">
      <c r="A13" s="121" t="s">
        <v>220</v>
      </c>
      <c r="B13" s="121" t="s">
        <v>221</v>
      </c>
      <c r="C13" s="122">
        <v>1500</v>
      </c>
    </row>
    <row r="14" spans="1:6">
      <c r="A14" s="121" t="s">
        <v>222</v>
      </c>
      <c r="B14" s="121" t="s">
        <v>223</v>
      </c>
      <c r="C14" s="122">
        <v>0</v>
      </c>
    </row>
    <row r="15" spans="1:6">
      <c r="A15" s="121" t="s">
        <v>224</v>
      </c>
      <c r="B15" s="121" t="s">
        <v>225</v>
      </c>
      <c r="C15" s="121">
        <f>C44</f>
        <v>133241</v>
      </c>
    </row>
    <row r="16" spans="1:6">
      <c r="A16" s="121" t="s">
        <v>226</v>
      </c>
      <c r="B16" s="121" t="s">
        <v>227</v>
      </c>
      <c r="C16" s="122">
        <v>9.1</v>
      </c>
    </row>
    <row r="17" spans="1:3">
      <c r="A17" s="121" t="s">
        <v>228</v>
      </c>
      <c r="B17" s="121" t="s">
        <v>229</v>
      </c>
      <c r="C17" s="122">
        <v>0</v>
      </c>
    </row>
    <row r="18" spans="1:3">
      <c r="A18" s="121" t="s">
        <v>230</v>
      </c>
      <c r="B18" s="121" t="s">
        <v>231</v>
      </c>
      <c r="C18" s="122">
        <v>1000</v>
      </c>
    </row>
    <row r="19" spans="1:3">
      <c r="A19" s="121" t="s">
        <v>232</v>
      </c>
      <c r="B19" s="121" t="s">
        <v>233</v>
      </c>
      <c r="C19" s="122">
        <v>10</v>
      </c>
    </row>
    <row r="20" spans="1:3">
      <c r="A20" s="121" t="s">
        <v>234</v>
      </c>
      <c r="B20" s="121" t="s">
        <v>235</v>
      </c>
      <c r="C20" s="121">
        <f>C48</f>
        <v>98</v>
      </c>
    </row>
    <row r="21" spans="1:3">
      <c r="A21" s="121" t="s">
        <v>280</v>
      </c>
      <c r="B21" s="121" t="s">
        <v>281</v>
      </c>
      <c r="C21" s="122">
        <v>0</v>
      </c>
    </row>
    <row r="22" spans="1:3">
      <c r="A22" s="124"/>
      <c r="B22" s="121"/>
      <c r="C22" s="121"/>
    </row>
    <row r="23" spans="1:3" hidden="1">
      <c r="A23" s="124" t="s">
        <v>259</v>
      </c>
      <c r="B23" s="121"/>
      <c r="C23" s="125">
        <v>23101</v>
      </c>
    </row>
    <row r="24" spans="1:3" hidden="1">
      <c r="A24" s="124" t="s">
        <v>236</v>
      </c>
      <c r="B24" s="121"/>
      <c r="C24" s="126">
        <f>C16*10</f>
        <v>91</v>
      </c>
    </row>
    <row r="25" spans="1:3" hidden="1">
      <c r="A25" s="124" t="s">
        <v>237</v>
      </c>
      <c r="B25" s="126"/>
      <c r="C25" s="126">
        <f>33+MAX(MAX(C5,3046)+38-33,2+17+ROUNDUP(1000*50/C23,0))</f>
        <v>3084</v>
      </c>
    </row>
    <row r="26" spans="1:3" hidden="1">
      <c r="A26" s="124" t="s">
        <v>238</v>
      </c>
      <c r="B26" s="126"/>
      <c r="C26" s="126">
        <f>MAX(ROUNDUP(((1000*C10)/C23),0),1)</f>
        <v>2598</v>
      </c>
    </row>
    <row r="27" spans="1:3" hidden="1">
      <c r="A27" s="124" t="s">
        <v>239</v>
      </c>
      <c r="B27" s="126"/>
      <c r="C27" s="126">
        <f>ROUNDDOWN(C11*1000/C23,0)</f>
        <v>0</v>
      </c>
    </row>
    <row r="28" spans="1:3" hidden="1">
      <c r="A28" s="124" t="s">
        <v>240</v>
      </c>
      <c r="B28" s="126"/>
      <c r="C28" s="126">
        <f>C26+C27+8</f>
        <v>2606</v>
      </c>
    </row>
    <row r="29" spans="1:3" ht="12.75" hidden="1" customHeight="1">
      <c r="A29" s="124" t="s">
        <v>313</v>
      </c>
      <c r="B29" s="126"/>
      <c r="C29" s="126">
        <v>1250</v>
      </c>
    </row>
    <row r="30" spans="1:3" hidden="1">
      <c r="A30" s="124" t="s">
        <v>241</v>
      </c>
      <c r="B30" s="126"/>
      <c r="C30" s="126">
        <v>0</v>
      </c>
    </row>
    <row r="31" spans="1:3" hidden="1">
      <c r="A31" s="124" t="s">
        <v>242</v>
      </c>
      <c r="B31" s="126"/>
      <c r="C31" s="127">
        <f>C4*C5*IF(C12=8,1,2)+C30*32</f>
        <v>12216864</v>
      </c>
    </row>
    <row r="32" spans="1:3" hidden="1">
      <c r="A32" s="124" t="s">
        <v>243</v>
      </c>
      <c r="B32" s="126"/>
      <c r="C32" s="126">
        <f>ROUNDDOWN((C4*C5*ROUNDUP(C12/8,0)+C30*36)/(C13-36),0)</f>
        <v>8344</v>
      </c>
    </row>
    <row r="33" spans="1:4" hidden="1">
      <c r="A33" s="124" t="s">
        <v>332</v>
      </c>
      <c r="B33" s="126"/>
      <c r="C33" s="126">
        <f>IF(C30=0,36,12)</f>
        <v>36</v>
      </c>
    </row>
    <row r="34" spans="1:4" hidden="1">
      <c r="A34" s="124" t="s">
        <v>244</v>
      </c>
      <c r="B34" s="126"/>
      <c r="C34" s="126">
        <f>C4*C5*ROUNDUP(C12/8,0)+C30*32-(C13-36)*C32</f>
        <v>1248</v>
      </c>
    </row>
    <row r="35" spans="1:4" hidden="1">
      <c r="A35" s="126" t="s">
        <v>249</v>
      </c>
      <c r="B35" s="126"/>
      <c r="C35" s="126">
        <f>ROUNDUP((ROUNDDOWN((((62+(C13-36))*C32+62+C34+(170-C30*24))+(C14+12)*(C32+3)),0)*1000/C38)*10/C23,0)</f>
        <v>4939</v>
      </c>
    </row>
    <row r="36" spans="1:4" hidden="1">
      <c r="A36" s="128" t="s">
        <v>364</v>
      </c>
      <c r="B36" s="128"/>
      <c r="C36" s="128">
        <f>ROUNDUP((C31+C33+10)*10*1000/C29/C23,0)</f>
        <v>4231</v>
      </c>
    </row>
    <row r="37" spans="1:4" hidden="1">
      <c r="A37" s="128" t="s">
        <v>417</v>
      </c>
      <c r="B37" s="128"/>
      <c r="C37" s="128">
        <f>MAX(C35)</f>
        <v>4939</v>
      </c>
    </row>
    <row r="38" spans="1:4" hidden="1">
      <c r="A38" s="126" t="s">
        <v>360</v>
      </c>
      <c r="B38" s="126"/>
      <c r="C38" s="126">
        <f>INT(IF(C21=0,C18*(100-C19)/80,C18*100/80))</f>
        <v>1125</v>
      </c>
    </row>
    <row r="39" spans="1:4" hidden="1">
      <c r="A39" s="126" t="s">
        <v>250</v>
      </c>
      <c r="B39" s="126"/>
      <c r="C39" s="126">
        <f>ROUNDUP((1000000000/C16)/C23,0)</f>
        <v>4757</v>
      </c>
    </row>
    <row r="40" spans="1:4" hidden="1">
      <c r="A40" s="126" t="s">
        <v>413</v>
      </c>
      <c r="B40" s="126"/>
      <c r="C40" s="126">
        <f>IF(C21=0,0,MAX(C25+C28+C27+16*2,C35))</f>
        <v>0</v>
      </c>
    </row>
    <row r="41" spans="1:4" hidden="1">
      <c r="A41" s="126" t="s">
        <v>251</v>
      </c>
      <c r="B41" s="126"/>
      <c r="C41" s="129">
        <f>IF(C17=1,(IF(C21=1,MAX(C40,C37,C39),MAX(C25,C28,C37,C39))),(IF(C21=1,MAX(C40,C37),MAX(C25,C28,C37))))</f>
        <v>4939</v>
      </c>
      <c r="D41" s="116" t="str">
        <f>DEC2HEX(C41)</f>
        <v>134B</v>
      </c>
    </row>
    <row r="42" spans="1:4" hidden="1">
      <c r="A42" s="126" t="s">
        <v>252</v>
      </c>
      <c r="B42" s="126"/>
      <c r="C42" s="126">
        <f>1000000/C50</f>
        <v>8.7645491515916429</v>
      </c>
    </row>
    <row r="43" spans="1:4" hidden="1">
      <c r="A43" s="126" t="s">
        <v>253</v>
      </c>
      <c r="B43" s="126"/>
      <c r="C43" s="126">
        <f>12500*C18*(100-C19)</f>
        <v>1125000000</v>
      </c>
    </row>
    <row r="44" spans="1:4" hidden="1">
      <c r="A44" s="126" t="s">
        <v>254</v>
      </c>
      <c r="B44" s="126"/>
      <c r="C44" s="126">
        <f>IF((ROUNDDOWN((C43-(62+C13-36)*C32-62-C34-168+C30*24)/(C32+3),0)-12)&gt;C45,C45,ROUNDDOWN((C43-(62+C13-36)*C32-62-C34-168+C30*24)/(C32+3),0)-12)</f>
        <v>133241</v>
      </c>
    </row>
    <row r="45" spans="1:4" hidden="1">
      <c r="A45" s="110" t="s">
        <v>255</v>
      </c>
      <c r="B45" s="126"/>
      <c r="C45" s="126">
        <f>IF(C18=1000,180000,18000)</f>
        <v>180000</v>
      </c>
    </row>
    <row r="46" spans="1:4" hidden="1">
      <c r="A46" s="126" t="s">
        <v>256</v>
      </c>
      <c r="B46" s="126"/>
      <c r="C46" s="126">
        <f>((62+(C13-36))*C32+62+C34+170)+(C14+12)*(C32+3)</f>
        <v>12834588</v>
      </c>
    </row>
    <row r="47" spans="1:4" hidden="1">
      <c r="A47" s="126" t="s">
        <v>253</v>
      </c>
      <c r="B47" s="126"/>
      <c r="C47" s="126">
        <f>125000*C18</f>
        <v>125000000</v>
      </c>
    </row>
    <row r="48" spans="1:4" hidden="1">
      <c r="A48" s="126" t="s">
        <v>257</v>
      </c>
      <c r="B48" s="126"/>
      <c r="C48" s="126">
        <f>IF((100-ROUNDDOWN(C46*10/(1250000*C18/10),0)-1)&lt;0,0,(100-ROUNDDOWN(C46*10/(1250000*C18/10),0)-1))</f>
        <v>98</v>
      </c>
    </row>
    <row r="49" spans="1:3" hidden="1">
      <c r="A49" s="126" t="s">
        <v>258</v>
      </c>
      <c r="B49" s="126"/>
      <c r="C49" s="126">
        <f>ROUNDDOWN((C43-(62+C13-36)*C32-62-C34-168+C30*24)/(C32+3),0)-12</f>
        <v>133241</v>
      </c>
    </row>
    <row r="50" spans="1:3" hidden="1">
      <c r="A50" s="126" t="s">
        <v>424</v>
      </c>
      <c r="B50" s="126"/>
      <c r="C50" s="125">
        <f>ROUNDUP(C41*C23/1000,0)</f>
        <v>114096</v>
      </c>
    </row>
    <row r="51" spans="1:3" hidden="1">
      <c r="A51" s="126" t="s">
        <v>425</v>
      </c>
      <c r="B51" s="126"/>
      <c r="C51" s="126">
        <f>ROUNDDOWN(1000000000/C50,0)</f>
        <v>8764</v>
      </c>
    </row>
    <row r="52" spans="1:3" hidden="1">
      <c r="A52" s="126" t="s">
        <v>416</v>
      </c>
      <c r="B52" s="126"/>
      <c r="C52" s="126">
        <f>ROUNDDOWN(C4*C51/10*IF(C12=8,1,2)/10*C5/10,0)</f>
        <v>107068596</v>
      </c>
    </row>
    <row r="53" spans="1:3" hidden="1">
      <c r="A53" s="126" t="s">
        <v>366</v>
      </c>
      <c r="B53" s="126"/>
      <c r="C53" s="126">
        <f>IF(C21=0,ROUNDDOWN((C52*10/(100-C19)*10),0),ROUNDDOWN((C52*10/(100)*10),0))</f>
        <v>118965106</v>
      </c>
    </row>
    <row r="54" spans="1:3" hidden="1">
      <c r="A54" s="126"/>
      <c r="B54" s="126"/>
      <c r="C54" s="126"/>
    </row>
    <row r="55" spans="1:3" hidden="1">
      <c r="A55" s="126" t="s">
        <v>262</v>
      </c>
      <c r="B55" s="126"/>
      <c r="C55" s="126">
        <f>ROUNDDOWN(4024/(4*C57),0)*4</f>
        <v>4024</v>
      </c>
    </row>
    <row r="56" spans="1:3" hidden="1">
      <c r="A56" s="126" t="s">
        <v>263</v>
      </c>
      <c r="B56" s="126"/>
      <c r="C56" s="126">
        <f>ROUNDDOWN(3036/(2*C58),0)*2</f>
        <v>3036</v>
      </c>
    </row>
    <row r="57" spans="1:3" hidden="1">
      <c r="A57" s="126" t="s">
        <v>264</v>
      </c>
      <c r="B57" s="126"/>
      <c r="C57" s="126">
        <f>IF(C6=1,C8,C6)</f>
        <v>1</v>
      </c>
    </row>
    <row r="58" spans="1:3" hidden="1">
      <c r="A58" s="126" t="s">
        <v>265</v>
      </c>
      <c r="B58" s="126"/>
      <c r="C58" s="126">
        <f>IF(C7=1,C9,C7)</f>
        <v>1</v>
      </c>
    </row>
    <row r="59" spans="1:3" hidden="1">
      <c r="A59" s="126" t="s">
        <v>266</v>
      </c>
      <c r="B59" s="126"/>
      <c r="C59" s="126">
        <f>ROUNDDOWN(C63/4,0)*4*C57</f>
        <v>4024</v>
      </c>
    </row>
    <row r="60" spans="1:3" hidden="1">
      <c r="A60" s="126" t="s">
        <v>267</v>
      </c>
      <c r="B60" s="126"/>
      <c r="C60" s="126">
        <f>ROUNDDOWN(C64/2,0)*2*C58</f>
        <v>3036</v>
      </c>
    </row>
    <row r="61" spans="1:3" hidden="1">
      <c r="A61" s="126" t="s">
        <v>268</v>
      </c>
      <c r="B61" s="126"/>
      <c r="C61" s="126">
        <f>ROUNDDOWN(C4/4,0)*4*C57</f>
        <v>4024</v>
      </c>
    </row>
    <row r="62" spans="1:3" hidden="1">
      <c r="A62" s="126" t="s">
        <v>269</v>
      </c>
      <c r="B62" s="126"/>
      <c r="C62" s="126">
        <f>ROUNDDOWN(C5/2,0)*2*C58</f>
        <v>3036</v>
      </c>
    </row>
    <row r="63" spans="1:3" hidden="1">
      <c r="A63" s="126" t="s">
        <v>270</v>
      </c>
      <c r="B63" s="126"/>
      <c r="C63" s="126">
        <f>ROUNDDOWN(C61/(4*C57),0)*4</f>
        <v>4024</v>
      </c>
    </row>
    <row r="64" spans="1:3" hidden="1">
      <c r="A64" s="126" t="s">
        <v>271</v>
      </c>
      <c r="B64" s="126"/>
      <c r="C64" s="126">
        <f>ROUNDDOWN(C62/(2*C58),0)*2</f>
        <v>3036</v>
      </c>
    </row>
    <row r="65" spans="1:11" hidden="1">
      <c r="A65" s="126"/>
      <c r="B65" s="126"/>
      <c r="C65" s="126"/>
    </row>
    <row r="66" spans="1:11" hidden="1">
      <c r="A66" s="126"/>
      <c r="B66" s="126"/>
      <c r="C66" s="126"/>
    </row>
    <row r="67" spans="1:11" ht="14.25">
      <c r="A67" s="130" t="s">
        <v>272</v>
      </c>
      <c r="B67" s="130"/>
      <c r="C67" s="130"/>
    </row>
    <row r="68" spans="1:11" ht="14.25">
      <c r="A68" s="130" t="s">
        <v>252</v>
      </c>
      <c r="B68" s="130" t="s">
        <v>1065</v>
      </c>
      <c r="C68" s="130">
        <f>ROUND(C42,2)</f>
        <v>8.76</v>
      </c>
      <c r="D68" s="131" t="str">
        <f>IF(J81=1,J77,"")</f>
        <v/>
      </c>
    </row>
    <row r="74" spans="1:11">
      <c r="J74" t="s">
        <v>418</v>
      </c>
      <c r="K74" s="132"/>
    </row>
    <row r="75" spans="1:11">
      <c r="J75" s="259" t="s">
        <v>426</v>
      </c>
    </row>
    <row r="76" spans="1:11">
      <c r="J76" s="115" t="s">
        <v>427</v>
      </c>
    </row>
    <row r="77" spans="1:11">
      <c r="J77" t="s">
        <v>421</v>
      </c>
    </row>
    <row r="80" spans="1:11">
      <c r="J80" t="s">
        <v>422</v>
      </c>
    </row>
    <row r="81" spans="10:10">
      <c r="J81" s="116">
        <f>IF(OR(OR(C4&gt;C2,C4&lt;4),OR(C5&gt;C3,C5&lt;2)),1,0)</f>
        <v>0</v>
      </c>
    </row>
  </sheetData>
  <sheetProtection algorithmName="SHA-512" hashValue="zwN191XptoAdOOker/PKnrDvN4uEjrXeqRejrG95EPBF/LfvCVFlXX9zZxUT2t4v5iY0pgN5t50koGxk1yzpGQ==" saltValue="ZoB7oMeSfRcwHj52qwNPGw==" spinCount="100000" sheet="1" objects="1" scenarios="1" selectLockedCells="1"/>
  <phoneticPr fontId="37" type="noConversion"/>
  <conditionalFormatting sqref="C4">
    <cfRule type="cellIs" dxfId="20" priority="2" operator="lessThan">
      <formula>4</formula>
    </cfRule>
    <cfRule type="cellIs" dxfId="19" priority="3" operator="greaterThan">
      <formula>$C$2</formula>
    </cfRule>
  </conditionalFormatting>
  <conditionalFormatting sqref="C5">
    <cfRule type="cellIs" dxfId="18" priority="4" stopIfTrue="1" operator="lessThan">
      <formula>2</formula>
    </cfRule>
    <cfRule type="cellIs" dxfId="17" priority="5" stopIfTrue="1" operator="greaterThan">
      <formula>$C$3</formula>
    </cfRule>
  </conditionalFormatting>
  <conditionalFormatting sqref="C68">
    <cfRule type="expression" dxfId="16" priority="1" stopIfTrue="1">
      <formula>$J$8=1</formula>
    </cfRule>
  </conditionalFormatting>
  <dataValidations count="19"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Input range:[8, 'WidthMax'],and is an integer multiple of 8" sqref="C4">
      <formula1>AND((C4&lt;=C2),(C4&gt;=8),(MOD(C4,8)=0))</formula1>
    </dataValidation>
    <dataValidation type="whole" allowBlank="1" showInputMessage="1" showErrorMessage="1" error="The input range :[23,15000000]" sqref="C10">
      <formula1>23</formula1>
      <formula2>15000000</formula2>
    </dataValidation>
    <dataValidation type="custom" allowBlank="1" showInputMessage="1" showErrorMessage="1" error="输入参数值为1、2或者4，并且当水平像素抽样不为1时不能输入" sqref="C6">
      <formula1>AND(OR((C6=1),(C6=2),(C6=4)),C8=1)</formula1>
    </dataValidation>
    <dataValidation type="custom" allowBlank="1" showInputMessage="1" showErrorMessage="1" error="Input range:[2, 'HeightMax'],and is an integer multiple of 2" sqref="C5">
      <formula1>AND((C5&lt;=C3),(C5&gt;=2),(MOD(C5,2)=0))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输入参数值为1、2或者4，并且当垂直像素抽样不为1时不能输入" sqref="C7">
      <formula1>AND(OR((C7=1),(C7=2),(C7=4)),C9=1)</formula1>
    </dataValidation>
    <dataValidation type="custom" allowBlank="1" showInputMessage="1" showErrorMessage="1" error="Please enter 8 or 12" sqref="C12">
      <formula1>OR((C12=8),(C12=12))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ErrorMessage="1" error="Please enter a 0 or 1" prompt="应在包间隔范围内" sqref="C17">
      <formula1>OR((C17=0),(C17=1))</formula1>
    </dataValidation>
    <dataValidation type="whole" allowBlank="1" showErrorMessage="1" error="Set the value to exceed the maximum" prompt="应在包间隔范围内" sqref="C15">
      <formula1>0</formula1>
      <formula2>C44</formula2>
    </dataValidation>
    <dataValidation type="whole" allowBlank="1" error="设置值超过包间隔范围" prompt="设置值应在预留带宽范围内" sqref="C20">
      <formula1>0</formula1>
      <formula2>C48</formula2>
    </dataValidation>
    <dataValidation type="custom" allowBlank="1" showErrorMessage="1" error="Set the value range :[ 0.1,10000.0], accurate to one decimal" prompt="应在包间隔范围内" sqref="C16">
      <formula1>AND(TRUNC(C16,1)=C16,(C16&gt;=0.1),(C16&lt;=10000))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custom" allowBlank="1" showInputMessage="1" showErrorMessage="1" error="Please enter a 0 or 1" sqref="C21">
      <formula1>OR((C21=0),(C21=1))</formula1>
    </dataValidation>
    <dataValidation type="custom" allowBlank="1" showInputMessage="1" showErrorMessage="1" error="Please enter 1 or 2" sqref="C8:C9">
      <formula1>AND(OR((C8=1),(C8=2)),C6=1)</formula1>
    </dataValidation>
  </dataValidations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73143711661124"/>
  </sheetPr>
  <dimension ref="A1:AN88"/>
  <sheetViews>
    <sheetView workbookViewId="0">
      <selection activeCell="B12" sqref="B12"/>
    </sheetView>
  </sheetViews>
  <sheetFormatPr defaultColWidth="9" defaultRowHeight="13.5"/>
  <cols>
    <col min="1" max="1" width="29" style="137" customWidth="1"/>
    <col min="2" max="3" width="19" style="137" customWidth="1"/>
    <col min="4" max="4" width="23.125" style="137" customWidth="1"/>
    <col min="5" max="5" width="19" style="137" customWidth="1"/>
    <col min="6" max="7" width="10" style="137" customWidth="1"/>
    <col min="8" max="8" width="6.125" style="137" customWidth="1"/>
    <col min="9" max="9" width="15.125" style="137" customWidth="1"/>
    <col min="10" max="10" width="24.5" style="137" customWidth="1"/>
    <col min="11" max="11" width="28.625" style="137" customWidth="1"/>
    <col min="12" max="12" width="16.125" style="137" customWidth="1"/>
    <col min="13" max="13" width="7.5" style="137" customWidth="1"/>
    <col min="14" max="14" width="4.5" style="137" customWidth="1"/>
    <col min="15" max="15" width="19.625" style="137" customWidth="1"/>
    <col min="16" max="16" width="27.25" style="137" customWidth="1"/>
    <col min="17" max="17" width="29" style="137" customWidth="1"/>
    <col min="18" max="18" width="12.75" style="137" customWidth="1"/>
    <col min="19" max="19" width="9.625" style="137" customWidth="1"/>
    <col min="20" max="20" width="4.875" style="137" customWidth="1"/>
    <col min="21" max="21" width="17" style="137" customWidth="1"/>
    <col min="22" max="23" width="15.625" style="137" customWidth="1"/>
    <col min="24" max="24" width="15.75" style="137" customWidth="1"/>
    <col min="25" max="25" width="16.375" style="137" customWidth="1"/>
    <col min="26" max="26" width="18.875" style="137" customWidth="1"/>
    <col min="27" max="27" width="14.875" style="137" customWidth="1"/>
    <col min="28" max="28" width="15.25" style="137" customWidth="1"/>
    <col min="29" max="29" width="20.5" style="137" customWidth="1"/>
    <col min="30" max="30" width="22" style="137" customWidth="1"/>
    <col min="31" max="31" width="21.625" style="137" customWidth="1"/>
    <col min="32" max="32" width="20.625" style="137" customWidth="1"/>
    <col min="33" max="33" width="10" style="137" customWidth="1"/>
    <col min="34" max="34" width="9.75" style="137" customWidth="1"/>
    <col min="35" max="35" width="13.25" style="137" customWidth="1"/>
    <col min="36" max="36" width="13.875" style="137" customWidth="1"/>
    <col min="37" max="37" width="12.5" style="137" customWidth="1"/>
    <col min="38" max="38" width="23.875" style="137" customWidth="1"/>
    <col min="39" max="39" width="22.125" style="137" customWidth="1"/>
    <col min="40" max="40" width="17.5" style="137" customWidth="1"/>
    <col min="41" max="16384" width="9" style="137"/>
  </cols>
  <sheetData>
    <row r="1" spans="1:3">
      <c r="A1" s="138"/>
      <c r="B1" s="355"/>
      <c r="C1" s="356"/>
    </row>
    <row r="2" spans="1:3">
      <c r="A2" s="138" t="s">
        <v>203</v>
      </c>
      <c r="B2" s="140">
        <v>4096</v>
      </c>
      <c r="C2" s="357"/>
    </row>
    <row r="3" spans="1:3">
      <c r="A3" s="138" t="s">
        <v>205</v>
      </c>
      <c r="B3" s="140">
        <v>3000</v>
      </c>
      <c r="C3" s="357"/>
    </row>
    <row r="4" spans="1:3">
      <c r="A4" s="138" t="s">
        <v>215</v>
      </c>
      <c r="B4" s="140">
        <v>60000</v>
      </c>
      <c r="C4" s="357"/>
    </row>
    <row r="5" spans="1:3">
      <c r="A5" s="138" t="s">
        <v>219</v>
      </c>
      <c r="B5" s="140">
        <v>8</v>
      </c>
      <c r="C5" s="357"/>
    </row>
    <row r="6" spans="1:3">
      <c r="A6" s="138" t="s">
        <v>221</v>
      </c>
      <c r="B6" s="140">
        <v>1500</v>
      </c>
      <c r="C6" s="357"/>
    </row>
    <row r="7" spans="1:3">
      <c r="A7" s="138" t="s">
        <v>223</v>
      </c>
      <c r="B7" s="140">
        <v>0</v>
      </c>
      <c r="C7" s="357"/>
    </row>
    <row r="8" spans="1:3">
      <c r="A8" s="138" t="s">
        <v>225</v>
      </c>
      <c r="B8" s="144">
        <f>L56</f>
        <v>132454</v>
      </c>
      <c r="C8" s="358"/>
    </row>
    <row r="9" spans="1:3">
      <c r="A9" s="138" t="s">
        <v>227</v>
      </c>
      <c r="B9" s="140">
        <v>9</v>
      </c>
      <c r="C9" s="357"/>
    </row>
    <row r="10" spans="1:3">
      <c r="A10" s="138" t="s">
        <v>229</v>
      </c>
      <c r="B10" s="140">
        <v>0</v>
      </c>
      <c r="C10" s="357"/>
    </row>
    <row r="11" spans="1:3">
      <c r="A11" s="138" t="s">
        <v>231</v>
      </c>
      <c r="B11" s="140">
        <v>1000</v>
      </c>
      <c r="C11" s="357"/>
    </row>
    <row r="12" spans="1:3">
      <c r="A12" s="138" t="s">
        <v>233</v>
      </c>
      <c r="B12" s="140">
        <v>10</v>
      </c>
      <c r="C12" s="357"/>
    </row>
    <row r="13" spans="1:3">
      <c r="A13" s="138" t="s">
        <v>235</v>
      </c>
      <c r="B13" s="144">
        <f>L58</f>
        <v>98</v>
      </c>
      <c r="C13" s="358"/>
    </row>
    <row r="14" spans="1:3" hidden="1">
      <c r="A14" s="138"/>
      <c r="B14" s="144">
        <f>INT(INT(B2*INT(1000000000/L38)/10*IF(B5=8,1,2)/10*B3/10)*10/(100-B12)*10)</f>
        <v>118961493</v>
      </c>
      <c r="C14" s="358"/>
    </row>
    <row r="15" spans="1:3" hidden="1">
      <c r="A15" s="138"/>
      <c r="B15" s="144"/>
      <c r="C15" s="358"/>
    </row>
    <row r="16" spans="1:3" ht="14.25">
      <c r="A16" s="145"/>
      <c r="B16" s="146"/>
      <c r="C16" s="359"/>
    </row>
    <row r="17" spans="1:3" ht="14.25">
      <c r="A17" s="145" t="s">
        <v>273</v>
      </c>
      <c r="B17" s="147">
        <f>L39</f>
        <v>8.7130024135016679</v>
      </c>
      <c r="C17" s="360"/>
    </row>
    <row r="21" spans="1:3" hidden="1"/>
    <row r="22" spans="1:3" hidden="1"/>
    <row r="23" spans="1:3" hidden="1"/>
    <row r="24" spans="1:3" hidden="1"/>
    <row r="25" spans="1:3" hidden="1"/>
    <row r="26" spans="1:3" hidden="1"/>
    <row r="27" spans="1:3" hidden="1"/>
    <row r="28" spans="1:3" hidden="1"/>
    <row r="29" spans="1:3" hidden="1"/>
    <row r="30" spans="1:3" hidden="1"/>
    <row r="31" spans="1:3" hidden="1"/>
    <row r="32" spans="1:3" hidden="1"/>
    <row r="33" spans="3:40" hidden="1">
      <c r="C33" s="148"/>
      <c r="D33" s="148"/>
      <c r="F33" s="148"/>
      <c r="G33" s="148"/>
      <c r="U33" s="148"/>
      <c r="V33" s="148"/>
      <c r="W33" s="148"/>
      <c r="X33" s="148"/>
      <c r="Y33" s="148"/>
      <c r="Z33" s="148"/>
    </row>
    <row r="34" spans="3:40" ht="14.25" hidden="1" customHeight="1">
      <c r="C34" s="361" t="s">
        <v>431</v>
      </c>
      <c r="D34" s="362" t="s">
        <v>430</v>
      </c>
      <c r="E34" s="363" t="s">
        <v>1066</v>
      </c>
      <c r="F34" s="148"/>
      <c r="G34" s="148"/>
      <c r="I34" s="823" t="s">
        <v>435</v>
      </c>
      <c r="J34" s="824"/>
      <c r="K34" s="824"/>
      <c r="L34" s="824"/>
      <c r="M34" s="825"/>
      <c r="O34" s="823" t="s">
        <v>656</v>
      </c>
      <c r="P34" s="824"/>
      <c r="Q34" s="824"/>
      <c r="R34" s="824"/>
      <c r="S34" s="825"/>
      <c r="U34" s="826" t="s">
        <v>657</v>
      </c>
      <c r="V34" s="827"/>
      <c r="W34" s="827"/>
      <c r="X34" s="827"/>
      <c r="Y34" s="827"/>
      <c r="Z34" s="827"/>
      <c r="AA34" s="827"/>
      <c r="AB34" s="827"/>
      <c r="AC34" s="827"/>
      <c r="AD34" s="827"/>
      <c r="AE34" s="827"/>
      <c r="AF34" s="827"/>
      <c r="AG34" s="827"/>
      <c r="AH34" s="827"/>
      <c r="AI34" s="827"/>
      <c r="AJ34" s="827"/>
      <c r="AK34" s="827"/>
      <c r="AL34" s="827"/>
      <c r="AM34" s="827"/>
      <c r="AN34" s="828"/>
    </row>
    <row r="35" spans="3:40" hidden="1">
      <c r="C35" s="824" t="s">
        <v>658</v>
      </c>
      <c r="D35" s="824"/>
      <c r="E35" s="824"/>
      <c r="F35" s="824"/>
      <c r="G35" s="825"/>
      <c r="I35" s="373" t="s">
        <v>444</v>
      </c>
      <c r="J35" s="364" t="s">
        <v>438</v>
      </c>
      <c r="K35" s="374" t="s">
        <v>447</v>
      </c>
      <c r="L35" s="364" t="s">
        <v>448</v>
      </c>
      <c r="M35" s="375" t="s">
        <v>449</v>
      </c>
      <c r="O35" s="808" t="s">
        <v>659</v>
      </c>
      <c r="P35" s="809"/>
      <c r="Q35" s="809"/>
      <c r="R35" s="809"/>
      <c r="S35" s="810"/>
      <c r="U35" s="396" t="s">
        <v>660</v>
      </c>
      <c r="V35" s="397" t="s">
        <v>661</v>
      </c>
      <c r="W35" s="397" t="s">
        <v>662</v>
      </c>
      <c r="X35" s="397" t="s">
        <v>663</v>
      </c>
      <c r="Y35" s="397" t="s">
        <v>664</v>
      </c>
      <c r="Z35" s="397" t="s">
        <v>665</v>
      </c>
      <c r="AA35" s="397" t="s">
        <v>1067</v>
      </c>
      <c r="AB35" s="397" t="s">
        <v>1068</v>
      </c>
      <c r="AC35" s="397" t="s">
        <v>1069</v>
      </c>
      <c r="AD35" s="397" t="s">
        <v>1070</v>
      </c>
      <c r="AE35" s="397" t="s">
        <v>1071</v>
      </c>
      <c r="AF35" s="397" t="s">
        <v>1072</v>
      </c>
      <c r="AG35" s="413" t="s">
        <v>1073</v>
      </c>
      <c r="AH35" s="397" t="s">
        <v>1074</v>
      </c>
      <c r="AI35" s="397" t="s">
        <v>1075</v>
      </c>
      <c r="AJ35" s="397" t="s">
        <v>1076</v>
      </c>
      <c r="AK35" s="397" t="s">
        <v>1077</v>
      </c>
      <c r="AL35" s="397" t="s">
        <v>1078</v>
      </c>
      <c r="AM35" s="397" t="s">
        <v>1079</v>
      </c>
      <c r="AN35" s="414" t="s">
        <v>1080</v>
      </c>
    </row>
    <row r="36" spans="3:40" ht="27" hidden="1">
      <c r="C36" s="364" t="s">
        <v>444</v>
      </c>
      <c r="D36" s="364" t="s">
        <v>687</v>
      </c>
      <c r="E36" s="364" t="s">
        <v>445</v>
      </c>
      <c r="F36" s="364" t="s">
        <v>446</v>
      </c>
      <c r="G36" s="365" t="s">
        <v>449</v>
      </c>
      <c r="I36" s="808" t="s">
        <v>252</v>
      </c>
      <c r="J36" s="809"/>
      <c r="K36" s="809"/>
      <c r="L36" s="809"/>
      <c r="M36" s="810"/>
      <c r="O36" s="373" t="s">
        <v>444</v>
      </c>
      <c r="P36" s="364" t="s">
        <v>438</v>
      </c>
      <c r="Q36" s="364" t="s">
        <v>447</v>
      </c>
      <c r="R36" s="364" t="s">
        <v>688</v>
      </c>
      <c r="S36" s="398" t="s">
        <v>449</v>
      </c>
      <c r="U36" s="399" t="s">
        <v>1066</v>
      </c>
      <c r="V36" s="388" t="s">
        <v>1081</v>
      </c>
      <c r="W36" s="366" t="s">
        <v>691</v>
      </c>
      <c r="X36" s="388">
        <v>54000</v>
      </c>
      <c r="Y36" s="366">
        <v>1</v>
      </c>
      <c r="Z36" s="366">
        <v>4</v>
      </c>
      <c r="AA36" s="388">
        <v>8</v>
      </c>
      <c r="AB36" s="388">
        <v>4</v>
      </c>
      <c r="AC36" s="388">
        <v>4096</v>
      </c>
      <c r="AD36" s="366">
        <v>2</v>
      </c>
      <c r="AE36" s="388">
        <v>4096</v>
      </c>
      <c r="AF36" s="388">
        <v>3000</v>
      </c>
      <c r="AG36" s="415">
        <v>1176</v>
      </c>
      <c r="AH36" s="416">
        <v>34</v>
      </c>
      <c r="AI36" s="388">
        <v>12</v>
      </c>
      <c r="AJ36" s="388">
        <v>14260</v>
      </c>
      <c r="AK36" s="388">
        <v>21</v>
      </c>
      <c r="AL36" s="388">
        <v>60000</v>
      </c>
      <c r="AM36" s="388">
        <v>9</v>
      </c>
      <c r="AN36" s="378" t="s">
        <v>1082</v>
      </c>
    </row>
    <row r="37" spans="3:40" ht="40.5" hidden="1">
      <c r="C37" s="809" t="s">
        <v>218</v>
      </c>
      <c r="D37" s="809"/>
      <c r="E37" s="809"/>
      <c r="F37" s="809"/>
      <c r="G37" s="810"/>
      <c r="I37" s="369" t="s">
        <v>396</v>
      </c>
      <c r="J37" s="366" t="s">
        <v>259</v>
      </c>
      <c r="K37" s="376" t="s">
        <v>693</v>
      </c>
      <c r="L37" s="377">
        <f>ROUNDUP(1000000*R40/R37,0)</f>
        <v>21778</v>
      </c>
      <c r="M37" s="378" t="s">
        <v>461</v>
      </c>
      <c r="O37" s="379" t="s">
        <v>373</v>
      </c>
      <c r="P37" s="380" t="s">
        <v>1083</v>
      </c>
      <c r="Q37" s="380" t="s">
        <v>1084</v>
      </c>
      <c r="R37" s="400">
        <f>VLOOKUP($E$34,$U$36:$AN$49,4,FALSE)</f>
        <v>54000</v>
      </c>
      <c r="S37" s="401" t="s">
        <v>622</v>
      </c>
      <c r="U37" s="148"/>
      <c r="V37" s="148"/>
      <c r="W37" s="148"/>
      <c r="X37" s="148"/>
      <c r="Y37" s="148"/>
      <c r="Z37" s="148"/>
    </row>
    <row r="38" spans="3:40" ht="189" hidden="1">
      <c r="C38" s="366" t="str">
        <f>VLOOKUP($E$34,$U$36:$AN$49,20,FALSE)</f>
        <v>像素格式(8/12)</v>
      </c>
      <c r="D38" s="366" t="s">
        <v>458</v>
      </c>
      <c r="E38" s="366">
        <v>8</v>
      </c>
      <c r="F38" s="367">
        <f>B5</f>
        <v>8</v>
      </c>
      <c r="G38" s="368" t="s">
        <v>594</v>
      </c>
      <c r="I38" s="369" t="s">
        <v>406</v>
      </c>
      <c r="J38" s="366" t="s">
        <v>251</v>
      </c>
      <c r="K38" s="376" t="s">
        <v>1085</v>
      </c>
      <c r="L38" s="381">
        <f>IF(F41="Ultra Short",IF(F45=1,MAX(L41,L42,L43),MAX(L41,L42,L43,L44)),IF(F45=1,ROUNDUP(MAX(L41,L42,L43)*L37/1000,0),ROUNDUP(MAX(L41,L42,L43,L44)*L37/1000,0)))</f>
        <v>114771</v>
      </c>
      <c r="M38" s="378" t="s">
        <v>478</v>
      </c>
      <c r="O38" s="382" t="s">
        <v>375</v>
      </c>
      <c r="P38" s="383" t="s">
        <v>1086</v>
      </c>
      <c r="Q38" s="380" t="s">
        <v>696</v>
      </c>
      <c r="R38" s="400">
        <f>VLOOKUP($E$34,$U$36:$AN$49,7,FALSE)</f>
        <v>8</v>
      </c>
      <c r="S38" s="401" t="s">
        <v>704</v>
      </c>
      <c r="U38" s="148"/>
      <c r="V38" s="148"/>
      <c r="W38" s="148"/>
      <c r="X38" s="148"/>
      <c r="Y38" s="148"/>
      <c r="Z38" s="148"/>
    </row>
    <row r="39" spans="3:40" ht="40.5" hidden="1">
      <c r="C39" s="809" t="s">
        <v>214</v>
      </c>
      <c r="D39" s="809"/>
      <c r="E39" s="809"/>
      <c r="F39" s="809"/>
      <c r="G39" s="810"/>
      <c r="I39" s="369" t="s">
        <v>486</v>
      </c>
      <c r="J39" s="366" t="s">
        <v>252</v>
      </c>
      <c r="K39" s="376" t="s">
        <v>487</v>
      </c>
      <c r="L39" s="381">
        <f>1000000/L38</f>
        <v>8.7130024135016679</v>
      </c>
      <c r="M39" s="378" t="s">
        <v>488</v>
      </c>
      <c r="O39" s="382" t="s">
        <v>376</v>
      </c>
      <c r="P39" s="383" t="s">
        <v>1086</v>
      </c>
      <c r="Q39" s="380" t="s">
        <v>696</v>
      </c>
      <c r="R39" s="400">
        <f>VLOOKUP($E$34,$U$36:$AN$49,8,FALSE)</f>
        <v>4</v>
      </c>
      <c r="S39" s="401" t="s">
        <v>704</v>
      </c>
      <c r="U39" s="148"/>
      <c r="V39" s="148"/>
      <c r="W39" s="148"/>
      <c r="X39" s="148"/>
      <c r="Y39" s="148"/>
      <c r="Z39" s="148"/>
    </row>
    <row r="40" spans="3:40" ht="40.5" hidden="1">
      <c r="C40" s="366" t="s">
        <v>705</v>
      </c>
      <c r="D40" s="366" t="s">
        <v>706</v>
      </c>
      <c r="E40" s="366" t="s">
        <v>707</v>
      </c>
      <c r="F40" s="367" t="s">
        <v>707</v>
      </c>
      <c r="G40" s="368" t="s">
        <v>594</v>
      </c>
      <c r="I40" s="808" t="s">
        <v>510</v>
      </c>
      <c r="J40" s="809"/>
      <c r="K40" s="809"/>
      <c r="L40" s="809"/>
      <c r="M40" s="810"/>
      <c r="O40" s="384" t="s">
        <v>260</v>
      </c>
      <c r="P40" s="385" t="s">
        <v>1087</v>
      </c>
      <c r="Q40" s="402" t="s">
        <v>696</v>
      </c>
      <c r="R40" s="403">
        <f>IF(F38=8,VLOOKUP($E$34,$U$36:$AN$49,13,FALSE),2*VLOOKUP($E$34,$U$36:$AN$49,13,FALSE))</f>
        <v>1176</v>
      </c>
      <c r="S40" s="401" t="s">
        <v>722</v>
      </c>
      <c r="U40" s="148"/>
      <c r="V40" s="148"/>
      <c r="W40" s="148"/>
      <c r="X40" s="148"/>
      <c r="Y40" s="148"/>
      <c r="Z40" s="148"/>
    </row>
    <row r="41" spans="3:40" ht="67.5" hidden="1">
      <c r="C41" s="366" t="s">
        <v>714</v>
      </c>
      <c r="D41" s="366" t="s">
        <v>715</v>
      </c>
      <c r="E41" s="366" t="s">
        <v>716</v>
      </c>
      <c r="F41" s="367" t="s">
        <v>716</v>
      </c>
      <c r="G41" s="368" t="s">
        <v>594</v>
      </c>
      <c r="I41" s="369" t="s">
        <v>516</v>
      </c>
      <c r="J41" s="366" t="s">
        <v>517</v>
      </c>
      <c r="K41" s="372" t="s">
        <v>1088</v>
      </c>
      <c r="L41" s="381">
        <f>IF(F41="Ultra Short",ROUNDUP((F52*F65+R41)*L37/1000,0)+10,F52*F65+R41)</f>
        <v>3034</v>
      </c>
      <c r="M41" s="386" t="str">
        <f>IF(F41="Ultra Short","us","line")</f>
        <v>line</v>
      </c>
      <c r="O41" s="382" t="s">
        <v>629</v>
      </c>
      <c r="P41" s="383" t="s">
        <v>1089</v>
      </c>
      <c r="Q41" s="380" t="s">
        <v>696</v>
      </c>
      <c r="R41" s="400">
        <f>VLOOKUP($E$34,$U$36:$AN$49,14,FALSE)</f>
        <v>34</v>
      </c>
      <c r="S41" s="404" t="s">
        <v>469</v>
      </c>
      <c r="U41" s="148"/>
      <c r="V41" s="148"/>
      <c r="W41" s="148"/>
      <c r="X41" s="148"/>
      <c r="Y41" s="148"/>
      <c r="Z41" s="148"/>
    </row>
    <row r="42" spans="3:40" ht="81" hidden="1">
      <c r="C42" s="366" t="s">
        <v>214</v>
      </c>
      <c r="D42" s="366" t="s">
        <v>475</v>
      </c>
      <c r="E42" s="366">
        <f>VLOOKUP($E$34,$U$36:$AN$49,18,FALSE)</f>
        <v>60000</v>
      </c>
      <c r="F42" s="367">
        <f>B4</f>
        <v>60000</v>
      </c>
      <c r="G42" s="368" t="s">
        <v>478</v>
      </c>
      <c r="I42" s="387" t="s">
        <v>522</v>
      </c>
      <c r="J42" s="372" t="s">
        <v>523</v>
      </c>
      <c r="K42" s="372" t="s">
        <v>1090</v>
      </c>
      <c r="L42" s="381">
        <f>IF(F41="Ultra Short",L46+L47+L50+20,L46+L47+R42)</f>
        <v>2767</v>
      </c>
      <c r="M42" s="386" t="str">
        <f>IF(F41="Ultra Short","us","line")</f>
        <v>line</v>
      </c>
      <c r="O42" s="379" t="s">
        <v>739</v>
      </c>
      <c r="P42" s="380" t="s">
        <v>1091</v>
      </c>
      <c r="Q42" s="380" t="s">
        <v>696</v>
      </c>
      <c r="R42" s="400">
        <f>VLOOKUP($E$34,$U$36:$AN$49,15,FALSE)</f>
        <v>12</v>
      </c>
      <c r="S42" s="404" t="s">
        <v>469</v>
      </c>
      <c r="U42" s="148"/>
      <c r="V42" s="148"/>
      <c r="W42" s="148"/>
      <c r="X42" s="148"/>
      <c r="Y42" s="148"/>
      <c r="Z42" s="148"/>
    </row>
    <row r="43" spans="3:40" ht="94.5" hidden="1">
      <c r="C43" s="366" t="s">
        <v>216</v>
      </c>
      <c r="D43" s="366" t="s">
        <v>484</v>
      </c>
      <c r="E43" s="366">
        <v>0</v>
      </c>
      <c r="F43" s="367">
        <v>0</v>
      </c>
      <c r="G43" s="368" t="s">
        <v>478</v>
      </c>
      <c r="I43" s="369" t="s">
        <v>534</v>
      </c>
      <c r="J43" s="366" t="s">
        <v>535</v>
      </c>
      <c r="K43" s="366" t="s">
        <v>720</v>
      </c>
      <c r="L43" s="381">
        <f>IF(F41="Ultra Short",ROUNDUP((1000000/F62)*F61,0),ROUNDUP(((1000000000/F62)/L37)*F61,0))</f>
        <v>0</v>
      </c>
      <c r="M43" s="386" t="str">
        <f>IF(F41="Ultra Short","us","line")</f>
        <v>line</v>
      </c>
      <c r="O43" s="369" t="s">
        <v>1092</v>
      </c>
      <c r="P43" s="366" t="s">
        <v>1093</v>
      </c>
      <c r="Q43" s="380" t="s">
        <v>696</v>
      </c>
      <c r="R43" s="400">
        <f>VLOOKUP($E$34,$U$36:$AN$49,16,FALSE)</f>
        <v>14260</v>
      </c>
      <c r="S43" s="378" t="s">
        <v>461</v>
      </c>
    </row>
    <row r="44" spans="3:40" ht="27" hidden="1">
      <c r="C44" s="822" t="s">
        <v>280</v>
      </c>
      <c r="D44" s="820"/>
      <c r="E44" s="820"/>
      <c r="F44" s="820"/>
      <c r="G44" s="821"/>
      <c r="I44" s="369" t="s">
        <v>540</v>
      </c>
      <c r="J44" s="366" t="s">
        <v>417</v>
      </c>
      <c r="K44" s="372" t="s">
        <v>978</v>
      </c>
      <c r="L44" s="381">
        <f>R73</f>
        <v>5270</v>
      </c>
      <c r="M44" s="386" t="str">
        <f>IF(F41="Ultra Short","us","line")</f>
        <v>line</v>
      </c>
      <c r="O44" s="808" t="s">
        <v>799</v>
      </c>
      <c r="P44" s="809"/>
      <c r="Q44" s="809"/>
      <c r="R44" s="809"/>
      <c r="S44" s="810"/>
    </row>
    <row r="45" spans="3:40" ht="27" hidden="1">
      <c r="C45" s="369" t="s">
        <v>280</v>
      </c>
      <c r="D45" s="366" t="s">
        <v>428</v>
      </c>
      <c r="E45" s="366">
        <v>0</v>
      </c>
      <c r="F45" s="367">
        <v>0</v>
      </c>
      <c r="G45" s="370" t="s">
        <v>594</v>
      </c>
      <c r="I45" s="808" t="s">
        <v>729</v>
      </c>
      <c r="J45" s="809"/>
      <c r="K45" s="809"/>
      <c r="L45" s="809"/>
      <c r="M45" s="810"/>
      <c r="O45" s="373" t="s">
        <v>444</v>
      </c>
      <c r="P45" s="364" t="s">
        <v>438</v>
      </c>
      <c r="Q45" s="364" t="s">
        <v>447</v>
      </c>
      <c r="R45" s="364" t="s">
        <v>688</v>
      </c>
      <c r="S45" s="398" t="s">
        <v>449</v>
      </c>
    </row>
    <row r="46" spans="3:40" ht="81" hidden="1">
      <c r="C46" s="809" t="s">
        <v>747</v>
      </c>
      <c r="D46" s="809"/>
      <c r="E46" s="809"/>
      <c r="F46" s="809"/>
      <c r="G46" s="810"/>
      <c r="I46" s="369" t="s">
        <v>397</v>
      </c>
      <c r="J46" s="366" t="s">
        <v>737</v>
      </c>
      <c r="K46" s="388" t="s">
        <v>1094</v>
      </c>
      <c r="L46" s="389">
        <f>IF(F41="Ultra Short",IF(F42&gt;14,ROUNDUP((1000*F42-R43)/1000,0),1),MAX(ROUNDUP(((1000*F42-R43)/L37),0),1))</f>
        <v>2755</v>
      </c>
      <c r="M46" s="386" t="str">
        <f>IF(F41="Ultra Short","us","line")</f>
        <v>line</v>
      </c>
      <c r="O46" s="382" t="s">
        <v>386</v>
      </c>
      <c r="P46" s="383" t="s">
        <v>452</v>
      </c>
      <c r="Q46" s="383" t="s">
        <v>453</v>
      </c>
      <c r="R46" s="400">
        <v>7</v>
      </c>
      <c r="S46" s="401" t="s">
        <v>454</v>
      </c>
      <c r="X46" s="405"/>
    </row>
    <row r="47" spans="3:40" ht="54" hidden="1">
      <c r="C47" s="366" t="s">
        <v>503</v>
      </c>
      <c r="D47" s="366" t="s">
        <v>508</v>
      </c>
      <c r="E47" s="366">
        <v>0</v>
      </c>
      <c r="F47" s="367">
        <v>0</v>
      </c>
      <c r="G47" s="368" t="s">
        <v>478</v>
      </c>
      <c r="I47" s="369" t="s">
        <v>398</v>
      </c>
      <c r="J47" s="366" t="s">
        <v>743</v>
      </c>
      <c r="K47" s="366" t="s">
        <v>1095</v>
      </c>
      <c r="L47" s="381">
        <f>IF(F41="Ultra Short",F43,ROUNDUP(((1000*F43)/L37),0))</f>
        <v>0</v>
      </c>
      <c r="M47" s="386" t="str">
        <f>IF(F41="Ultra Short","us","line")</f>
        <v>line</v>
      </c>
      <c r="O47" s="382" t="s">
        <v>387</v>
      </c>
      <c r="P47" s="383" t="s">
        <v>462</v>
      </c>
      <c r="Q47" s="383" t="s">
        <v>463</v>
      </c>
      <c r="R47" s="400">
        <v>1</v>
      </c>
      <c r="S47" s="401" t="s">
        <v>454</v>
      </c>
      <c r="X47" s="405"/>
    </row>
    <row r="48" spans="3:40" ht="39.75" hidden="1" customHeight="1">
      <c r="C48" s="809" t="s">
        <v>753</v>
      </c>
      <c r="D48" s="809"/>
      <c r="E48" s="809"/>
      <c r="F48" s="809"/>
      <c r="G48" s="810"/>
      <c r="I48" s="369" t="s">
        <v>553</v>
      </c>
      <c r="J48" s="366" t="s">
        <v>554</v>
      </c>
      <c r="K48" s="366">
        <v>0</v>
      </c>
      <c r="L48" s="381">
        <v>0</v>
      </c>
      <c r="M48" s="378" t="s">
        <v>478</v>
      </c>
      <c r="O48" s="382" t="s">
        <v>388</v>
      </c>
      <c r="P48" s="383" t="s">
        <v>470</v>
      </c>
      <c r="Q48" s="383" t="s">
        <v>471</v>
      </c>
      <c r="R48" s="400">
        <v>14</v>
      </c>
      <c r="S48" s="401" t="s">
        <v>454</v>
      </c>
      <c r="X48" s="405"/>
    </row>
    <row r="49" spans="3:28" ht="81" hidden="1">
      <c r="C49" s="366" t="s">
        <v>757</v>
      </c>
      <c r="D49" s="366" t="s">
        <v>758</v>
      </c>
      <c r="E49" s="366">
        <v>0</v>
      </c>
      <c r="F49" s="367">
        <v>0</v>
      </c>
      <c r="G49" s="368" t="s">
        <v>704</v>
      </c>
      <c r="I49" s="369" t="s">
        <v>560</v>
      </c>
      <c r="J49" s="366" t="s">
        <v>1096</v>
      </c>
      <c r="K49" s="366" t="s">
        <v>1097</v>
      </c>
      <c r="L49" s="381">
        <f>IF(F41="Ultra Short",IF((F42+4)&gt;100,(F42+4),100),IF((F42+4*L37/1000)&gt;100,(F42+4*L37/1000),100))</f>
        <v>60087.112000000001</v>
      </c>
      <c r="M49" s="378" t="s">
        <v>478</v>
      </c>
      <c r="O49" s="382" t="s">
        <v>389</v>
      </c>
      <c r="P49" s="383" t="s">
        <v>479</v>
      </c>
      <c r="Q49" s="383" t="s">
        <v>480</v>
      </c>
      <c r="R49" s="400">
        <v>20</v>
      </c>
      <c r="S49" s="401" t="s">
        <v>454</v>
      </c>
      <c r="U49" s="406"/>
      <c r="V49" s="405"/>
      <c r="W49" s="405"/>
      <c r="X49" s="405"/>
      <c r="Y49" s="405"/>
      <c r="AB49" s="405"/>
    </row>
    <row r="50" spans="3:28" ht="59.25" hidden="1" customHeight="1">
      <c r="C50" s="366" t="s">
        <v>760</v>
      </c>
      <c r="D50" s="366" t="s">
        <v>761</v>
      </c>
      <c r="E50" s="366">
        <v>0</v>
      </c>
      <c r="F50" s="367">
        <v>0</v>
      </c>
      <c r="G50" s="368" t="s">
        <v>704</v>
      </c>
      <c r="I50" s="369" t="s">
        <v>399</v>
      </c>
      <c r="J50" s="366" t="s">
        <v>1098</v>
      </c>
      <c r="K50" s="366" t="s">
        <v>1099</v>
      </c>
      <c r="L50" s="390">
        <f>IF(F41="Ultra Short",ROUNDUP((VLOOKUP($E$34,$U$36:$AN$49,17,FALSE)+11+F52*F65)*L37/1000,0),VLOOKUP($E$34,$U$36:$AN$49,17,FALSE)+11+F52*F65)</f>
        <v>3032</v>
      </c>
      <c r="M50" s="386" t="str">
        <f>IF(F41="Ultra Short","us","line")</f>
        <v>line</v>
      </c>
      <c r="O50" s="382" t="s">
        <v>390</v>
      </c>
      <c r="P50" s="383" t="s">
        <v>489</v>
      </c>
      <c r="Q50" s="383" t="s">
        <v>490</v>
      </c>
      <c r="R50" s="400">
        <v>8</v>
      </c>
      <c r="S50" s="401" t="s">
        <v>454</v>
      </c>
      <c r="U50" s="406"/>
      <c r="V50" s="405"/>
      <c r="W50" s="405"/>
      <c r="X50" s="405"/>
      <c r="Y50" s="405"/>
      <c r="AB50" s="405"/>
    </row>
    <row r="51" spans="3:28" hidden="1">
      <c r="C51" s="366" t="s">
        <v>202</v>
      </c>
      <c r="D51" s="366" t="s">
        <v>203</v>
      </c>
      <c r="E51" s="366">
        <f>VLOOKUP($E$34,$U$36:$AN$49,11,FALSE)</f>
        <v>4096</v>
      </c>
      <c r="F51" s="367">
        <f>B2</f>
        <v>4096</v>
      </c>
      <c r="G51" s="368" t="s">
        <v>704</v>
      </c>
      <c r="I51" s="808" t="s">
        <v>366</v>
      </c>
      <c r="J51" s="809"/>
      <c r="K51" s="809"/>
      <c r="L51" s="809"/>
      <c r="M51" s="810"/>
      <c r="O51" s="382" t="s">
        <v>391</v>
      </c>
      <c r="P51" s="383" t="s">
        <v>494</v>
      </c>
      <c r="Q51" s="383" t="s">
        <v>490</v>
      </c>
      <c r="R51" s="400">
        <v>8</v>
      </c>
      <c r="S51" s="401" t="s">
        <v>454</v>
      </c>
      <c r="U51" s="816" t="s">
        <v>771</v>
      </c>
      <c r="V51" s="817"/>
      <c r="W51" s="817"/>
      <c r="X51" s="817"/>
      <c r="Y51" s="817"/>
      <c r="Z51" s="818"/>
    </row>
    <row r="52" spans="3:28" ht="40.5" hidden="1">
      <c r="C52" s="366" t="s">
        <v>204</v>
      </c>
      <c r="D52" s="366" t="s">
        <v>205</v>
      </c>
      <c r="E52" s="366">
        <f>VLOOKUP($E$34,$U$36:$AN$49,12,FALSE)</f>
        <v>3000</v>
      </c>
      <c r="F52" s="367">
        <f>B3</f>
        <v>3000</v>
      </c>
      <c r="G52" s="368" t="s">
        <v>704</v>
      </c>
      <c r="I52" s="369" t="s">
        <v>400</v>
      </c>
      <c r="J52" s="366" t="s">
        <v>762</v>
      </c>
      <c r="K52" s="366" t="s">
        <v>763</v>
      </c>
      <c r="L52" s="390">
        <f>L39*R61</f>
        <v>107065373.6571085</v>
      </c>
      <c r="M52" s="378" t="s">
        <v>764</v>
      </c>
      <c r="O52" s="382" t="s">
        <v>392</v>
      </c>
      <c r="P52" s="383" t="s">
        <v>498</v>
      </c>
      <c r="Q52" s="383" t="s">
        <v>499</v>
      </c>
      <c r="R52" s="400">
        <v>4</v>
      </c>
      <c r="S52" s="401" t="s">
        <v>454</v>
      </c>
      <c r="U52" s="819" t="s">
        <v>531</v>
      </c>
      <c r="V52" s="820"/>
      <c r="W52" s="820"/>
      <c r="X52" s="820"/>
      <c r="Y52" s="820"/>
      <c r="Z52" s="821"/>
      <c r="AA52" s="405"/>
    </row>
    <row r="53" spans="3:28" ht="49.5" hidden="1" customHeight="1">
      <c r="C53" s="819" t="s">
        <v>571</v>
      </c>
      <c r="D53" s="820"/>
      <c r="E53" s="820"/>
      <c r="F53" s="820"/>
      <c r="G53" s="821"/>
      <c r="I53" s="391" t="s">
        <v>401</v>
      </c>
      <c r="J53" s="247" t="s">
        <v>767</v>
      </c>
      <c r="K53" s="366" t="s">
        <v>768</v>
      </c>
      <c r="L53" s="381">
        <f>L39*R69</f>
        <v>111599864.07716234</v>
      </c>
      <c r="M53" s="378" t="s">
        <v>764</v>
      </c>
      <c r="O53" s="382" t="s">
        <v>331</v>
      </c>
      <c r="P53" s="383" t="s">
        <v>330</v>
      </c>
      <c r="Q53" s="383" t="s">
        <v>504</v>
      </c>
      <c r="R53" s="400">
        <v>12</v>
      </c>
      <c r="S53" s="401" t="s">
        <v>454</v>
      </c>
      <c r="U53" s="373" t="s">
        <v>437</v>
      </c>
      <c r="V53" s="364" t="s">
        <v>438</v>
      </c>
      <c r="W53" s="364" t="s">
        <v>439</v>
      </c>
      <c r="X53" s="364" t="s">
        <v>447</v>
      </c>
      <c r="Y53" s="364" t="s">
        <v>777</v>
      </c>
      <c r="Z53" s="365" t="s">
        <v>778</v>
      </c>
      <c r="AA53" s="405"/>
    </row>
    <row r="54" spans="3:28" ht="45" hidden="1" customHeight="1">
      <c r="C54" s="366" t="s">
        <v>779</v>
      </c>
      <c r="D54" s="366" t="s">
        <v>372</v>
      </c>
      <c r="E54" s="371">
        <v>0</v>
      </c>
      <c r="F54" s="367">
        <v>0</v>
      </c>
      <c r="G54" s="368" t="s">
        <v>594</v>
      </c>
      <c r="I54" s="391" t="s">
        <v>402</v>
      </c>
      <c r="J54" s="247" t="s">
        <v>772</v>
      </c>
      <c r="K54" s="366" t="s">
        <v>773</v>
      </c>
      <c r="L54" s="381">
        <f>1250*F56*(100-F59)</f>
        <v>112500000</v>
      </c>
      <c r="M54" s="378" t="s">
        <v>764</v>
      </c>
      <c r="O54" s="382" t="s">
        <v>341</v>
      </c>
      <c r="P54" s="366" t="s">
        <v>511</v>
      </c>
      <c r="Q54" s="383" t="s">
        <v>512</v>
      </c>
      <c r="R54" s="400">
        <f>R49+R50+R51</f>
        <v>36</v>
      </c>
      <c r="S54" s="401" t="s">
        <v>454</v>
      </c>
      <c r="U54" s="369" t="s">
        <v>784</v>
      </c>
      <c r="V54" s="366" t="s">
        <v>785</v>
      </c>
      <c r="W54" s="366" t="s">
        <v>924</v>
      </c>
      <c r="X54" s="366" t="s">
        <v>786</v>
      </c>
      <c r="Y54" s="381" t="str">
        <f>"0x"&amp;DEC2HEX(IF(F41="Ultra Short",54,R40))</f>
        <v>0x498</v>
      </c>
      <c r="Z54" s="805" t="s">
        <v>787</v>
      </c>
      <c r="AA54" s="405"/>
    </row>
    <row r="55" spans="3:28" ht="27" hidden="1">
      <c r="C55" s="809" t="s">
        <v>789</v>
      </c>
      <c r="D55" s="809"/>
      <c r="E55" s="809"/>
      <c r="F55" s="809"/>
      <c r="G55" s="810"/>
      <c r="I55" s="808" t="s">
        <v>600</v>
      </c>
      <c r="J55" s="809"/>
      <c r="K55" s="809"/>
      <c r="L55" s="809"/>
      <c r="M55" s="810"/>
      <c r="O55" s="382" t="s">
        <v>343</v>
      </c>
      <c r="P55" s="366" t="s">
        <v>519</v>
      </c>
      <c r="Q55" s="383" t="s">
        <v>520</v>
      </c>
      <c r="R55" s="400">
        <f>R46+R47+R48+R52</f>
        <v>26</v>
      </c>
      <c r="S55" s="401" t="s">
        <v>454</v>
      </c>
      <c r="U55" s="369" t="s">
        <v>800</v>
      </c>
      <c r="V55" s="366" t="s">
        <v>801</v>
      </c>
      <c r="W55" s="366" t="s">
        <v>1100</v>
      </c>
      <c r="X55" s="366" t="s">
        <v>802</v>
      </c>
      <c r="Y55" s="381" t="str">
        <f>"0x"&amp;DEC2HEX(L47)</f>
        <v>0x0</v>
      </c>
      <c r="Z55" s="806"/>
      <c r="AA55" s="405"/>
    </row>
    <row r="56" spans="3:28" ht="175.5" hidden="1">
      <c r="C56" s="366" t="s">
        <v>230</v>
      </c>
      <c r="D56" s="366" t="s">
        <v>796</v>
      </c>
      <c r="E56" s="371" t="s">
        <v>594</v>
      </c>
      <c r="F56" s="367">
        <f>B11</f>
        <v>1000</v>
      </c>
      <c r="G56" s="368" t="s">
        <v>797</v>
      </c>
      <c r="I56" s="391" t="s">
        <v>403</v>
      </c>
      <c r="J56" s="248" t="s">
        <v>780</v>
      </c>
      <c r="K56" s="366" t="s">
        <v>1101</v>
      </c>
      <c r="L56" s="381">
        <f>IF((ROUNDDOWN((R72-(62+B6-36)*R63-62-R64-170)/(R63+3),0)-12)&gt;L60,L60,ROUNDDOWN((R72-(62+B6-36)*R63-62-R64-170)/(R63+3),0)-12)</f>
        <v>132454</v>
      </c>
      <c r="M56" s="378" t="s">
        <v>454</v>
      </c>
      <c r="O56" s="382" t="s">
        <v>345</v>
      </c>
      <c r="P56" s="383" t="s">
        <v>344</v>
      </c>
      <c r="Q56" s="383" t="s">
        <v>525</v>
      </c>
      <c r="R56" s="400">
        <f>64-R48-R52-R54</f>
        <v>10</v>
      </c>
      <c r="S56" s="401" t="s">
        <v>454</v>
      </c>
      <c r="U56" s="369" t="s">
        <v>805</v>
      </c>
      <c r="V56" s="372" t="s">
        <v>806</v>
      </c>
      <c r="W56" s="366" t="s">
        <v>925</v>
      </c>
      <c r="X56" s="366" t="s">
        <v>807</v>
      </c>
      <c r="Y56" s="381" t="str">
        <f>"0x"&amp;DEC2HEX(L46)</f>
        <v>0xAC3</v>
      </c>
      <c r="Z56" s="806"/>
      <c r="AA56" s="405"/>
    </row>
    <row r="57" spans="3:28" ht="95.25" hidden="1" customHeight="1">
      <c r="C57" s="366" t="s">
        <v>803</v>
      </c>
      <c r="D57" s="366" t="s">
        <v>221</v>
      </c>
      <c r="E57" s="371">
        <v>1500</v>
      </c>
      <c r="F57" s="367">
        <f>B6</f>
        <v>1500</v>
      </c>
      <c r="G57" s="368" t="s">
        <v>454</v>
      </c>
      <c r="I57" s="808" t="s">
        <v>609</v>
      </c>
      <c r="J57" s="809"/>
      <c r="K57" s="809"/>
      <c r="L57" s="809"/>
      <c r="M57" s="810"/>
      <c r="O57" s="808" t="s">
        <v>868</v>
      </c>
      <c r="P57" s="809"/>
      <c r="Q57" s="809"/>
      <c r="R57" s="809"/>
      <c r="S57" s="810"/>
      <c r="U57" s="407" t="s">
        <v>811</v>
      </c>
      <c r="V57" s="366" t="s">
        <v>812</v>
      </c>
      <c r="W57" s="366" t="s">
        <v>927</v>
      </c>
      <c r="X57" s="366" t="s">
        <v>813</v>
      </c>
      <c r="Y57" s="381" t="str">
        <f>"0x"&amp;DEC2HEX(MAX(L41,L42,L43,L44))</f>
        <v>0x1496</v>
      </c>
      <c r="Z57" s="806"/>
      <c r="AA57" s="405"/>
    </row>
    <row r="58" spans="3:28" ht="94.5" hidden="1">
      <c r="C58" s="366" t="str">
        <f>"流通道包间隔(不包括12B最小值的部分) 
范围:0-"&amp;L56</f>
        <v>流通道包间隔(不包括12B最小值的部分) 
范围:0-132454</v>
      </c>
      <c r="D58" s="366" t="s">
        <v>223</v>
      </c>
      <c r="E58" s="371">
        <v>0</v>
      </c>
      <c r="F58" s="367">
        <f>B7</f>
        <v>0</v>
      </c>
      <c r="G58" s="368" t="s">
        <v>454</v>
      </c>
      <c r="I58" s="392" t="s">
        <v>404</v>
      </c>
      <c r="J58" s="249" t="s">
        <v>609</v>
      </c>
      <c r="K58" s="393" t="s">
        <v>798</v>
      </c>
      <c r="L58" s="394">
        <f>IF((100-ROUNDDOWN(10*R71/(125000*F56),0)-1)&lt;0,0,(100-ROUNDDOWN(10*R71/(125000*F56),0)-1))</f>
        <v>98</v>
      </c>
      <c r="M58" s="395" t="s">
        <v>614</v>
      </c>
      <c r="O58" s="373" t="s">
        <v>444</v>
      </c>
      <c r="P58" s="364" t="s">
        <v>438</v>
      </c>
      <c r="Q58" s="364" t="s">
        <v>447</v>
      </c>
      <c r="R58" s="364" t="s">
        <v>688</v>
      </c>
      <c r="S58" s="398" t="s">
        <v>449</v>
      </c>
      <c r="U58" s="407" t="s">
        <v>822</v>
      </c>
      <c r="V58" s="366" t="s">
        <v>823</v>
      </c>
      <c r="W58" s="388" t="s">
        <v>1102</v>
      </c>
      <c r="X58" s="366" t="s">
        <v>813</v>
      </c>
      <c r="Y58" s="381" t="str">
        <f>"0x"&amp;DEC2HEX(MAX(L41,L42,L43))</f>
        <v>0xBDA</v>
      </c>
      <c r="Z58" s="806"/>
      <c r="AA58" s="405"/>
    </row>
    <row r="59" spans="3:28" ht="27" hidden="1">
      <c r="C59" s="366" t="str">
        <f>"预留带宽 
范围:0-"&amp;L58</f>
        <v>预留带宽 
范围:0-98</v>
      </c>
      <c r="D59" s="366" t="s">
        <v>233</v>
      </c>
      <c r="E59" s="371">
        <v>10</v>
      </c>
      <c r="F59" s="367">
        <f>B12</f>
        <v>10</v>
      </c>
      <c r="G59" s="368" t="s">
        <v>614</v>
      </c>
      <c r="O59" s="382" t="s">
        <v>393</v>
      </c>
      <c r="P59" s="366" t="s">
        <v>874</v>
      </c>
      <c r="Q59" s="383" t="s">
        <v>543</v>
      </c>
      <c r="R59" s="400">
        <f>36</f>
        <v>36</v>
      </c>
      <c r="S59" s="401" t="s">
        <v>454</v>
      </c>
      <c r="U59" s="407" t="s">
        <v>829</v>
      </c>
      <c r="V59" s="366" t="s">
        <v>830</v>
      </c>
      <c r="W59" s="366" t="s">
        <v>1103</v>
      </c>
      <c r="X59" s="366" t="s">
        <v>831</v>
      </c>
      <c r="Y59" s="381" t="s">
        <v>832</v>
      </c>
      <c r="Z59" s="807"/>
      <c r="AB59" s="405"/>
    </row>
    <row r="60" spans="3:28" ht="54.75" hidden="1" customHeight="1">
      <c r="C60" s="809" t="s">
        <v>552</v>
      </c>
      <c r="D60" s="809"/>
      <c r="E60" s="809"/>
      <c r="F60" s="809"/>
      <c r="G60" s="810"/>
      <c r="L60" s="137">
        <f>IF(B11=1000,180000,18000)</f>
        <v>180000</v>
      </c>
      <c r="O60" s="382" t="s">
        <v>394</v>
      </c>
      <c r="P60" s="366" t="s">
        <v>877</v>
      </c>
      <c r="Q60" s="383" t="s">
        <v>548</v>
      </c>
      <c r="R60" s="400">
        <v>10</v>
      </c>
      <c r="S60" s="401" t="s">
        <v>454</v>
      </c>
      <c r="U60" s="407" t="s">
        <v>1104</v>
      </c>
      <c r="V60" s="366" t="s">
        <v>1105</v>
      </c>
      <c r="W60" s="388" t="s">
        <v>1106</v>
      </c>
      <c r="X60" s="366" t="s">
        <v>1107</v>
      </c>
      <c r="Y60" s="381" t="str">
        <f>"0x"&amp;(IF(F41="Ultra Short",0,1))</f>
        <v>0x1</v>
      </c>
      <c r="Z60" s="411" t="s">
        <v>1108</v>
      </c>
      <c r="AB60" s="405"/>
    </row>
    <row r="61" spans="3:28" ht="256.5" hidden="1">
      <c r="C61" s="366" t="s">
        <v>824</v>
      </c>
      <c r="D61" s="366" t="s">
        <v>558</v>
      </c>
      <c r="E61" s="366">
        <v>0</v>
      </c>
      <c r="F61" s="367">
        <f>B10</f>
        <v>0</v>
      </c>
      <c r="G61" s="368" t="s">
        <v>594</v>
      </c>
      <c r="O61" s="369" t="s">
        <v>337</v>
      </c>
      <c r="P61" s="366" t="s">
        <v>884</v>
      </c>
      <c r="Q61" s="366" t="s">
        <v>885</v>
      </c>
      <c r="R61" s="390">
        <f>F51*F52*IF(F38=8,1,2)</f>
        <v>12288000</v>
      </c>
      <c r="S61" s="401" t="s">
        <v>454</v>
      </c>
      <c r="U61" s="407" t="s">
        <v>1109</v>
      </c>
      <c r="V61" s="366" t="s">
        <v>1110</v>
      </c>
      <c r="W61" s="388" t="s">
        <v>1111</v>
      </c>
      <c r="X61" s="366" t="s">
        <v>1107</v>
      </c>
      <c r="Y61" s="381" t="str">
        <f>"0x"&amp;(IF(F42="Ultra Short",0,1))</f>
        <v>0x1</v>
      </c>
      <c r="Z61" s="411" t="s">
        <v>1112</v>
      </c>
    </row>
    <row r="62" spans="3:28" ht="54" hidden="1" customHeight="1">
      <c r="C62" s="366" t="s">
        <v>552</v>
      </c>
      <c r="D62" s="372" t="s">
        <v>565</v>
      </c>
      <c r="E62" s="366">
        <f>VLOOKUP($E$34,$U$36:$AN$49,19,FALSE)</f>
        <v>9</v>
      </c>
      <c r="F62" s="367">
        <f>B9</f>
        <v>9</v>
      </c>
      <c r="G62" s="368" t="s">
        <v>488</v>
      </c>
      <c r="O62" s="382" t="s">
        <v>339</v>
      </c>
      <c r="P62" s="366" t="s">
        <v>886</v>
      </c>
      <c r="Q62" s="366" t="s">
        <v>887</v>
      </c>
      <c r="R62" s="408">
        <f>R61+32*F54</f>
        <v>12288000</v>
      </c>
      <c r="S62" s="401" t="s">
        <v>454</v>
      </c>
      <c r="U62" s="407" t="s">
        <v>399</v>
      </c>
      <c r="V62" s="366" t="s">
        <v>849</v>
      </c>
      <c r="W62" s="388" t="s">
        <v>1113</v>
      </c>
      <c r="X62" s="366" t="s">
        <v>850</v>
      </c>
      <c r="Y62" s="381" t="str">
        <f>"0x"&amp;DEC2HEX(L41)</f>
        <v>0xBDA</v>
      </c>
      <c r="Z62" s="411" t="s">
        <v>851</v>
      </c>
    </row>
    <row r="63" spans="3:28" ht="54" hidden="1">
      <c r="C63" s="811" t="s">
        <v>833</v>
      </c>
      <c r="D63" s="811"/>
      <c r="E63" s="811"/>
      <c r="F63" s="811"/>
      <c r="G63" s="812"/>
      <c r="O63" s="382" t="s">
        <v>347</v>
      </c>
      <c r="P63" s="366" t="s">
        <v>346</v>
      </c>
      <c r="Q63" s="383" t="s">
        <v>570</v>
      </c>
      <c r="R63" s="409">
        <f>INT(R62/(F57-R54))</f>
        <v>8393</v>
      </c>
      <c r="S63" s="401"/>
      <c r="U63" s="407" t="s">
        <v>854</v>
      </c>
      <c r="V63" s="366" t="s">
        <v>855</v>
      </c>
      <c r="W63" s="366" t="s">
        <v>1114</v>
      </c>
      <c r="X63" s="366" t="s">
        <v>856</v>
      </c>
      <c r="Y63" s="381" t="str">
        <f>"0x"&amp;DEC2HEX(F57-R54)</f>
        <v>0x5B8</v>
      </c>
      <c r="Z63" s="411" t="s">
        <v>857</v>
      </c>
      <c r="AB63" s="405"/>
    </row>
    <row r="64" spans="3:28" ht="54" hidden="1">
      <c r="C64" s="366" t="s">
        <v>1115</v>
      </c>
      <c r="D64" s="372" t="s">
        <v>1116</v>
      </c>
      <c r="E64" s="366">
        <v>1</v>
      </c>
      <c r="F64" s="367">
        <v>1</v>
      </c>
      <c r="G64" s="368" t="s">
        <v>594</v>
      </c>
      <c r="O64" s="382" t="s">
        <v>349</v>
      </c>
      <c r="P64" s="366" t="s">
        <v>888</v>
      </c>
      <c r="Q64" s="383" t="s">
        <v>577</v>
      </c>
      <c r="R64" s="409">
        <f>R62-(F57-R54)*R63</f>
        <v>648</v>
      </c>
      <c r="S64" s="401" t="s">
        <v>454</v>
      </c>
      <c r="U64" s="410" t="s">
        <v>860</v>
      </c>
      <c r="V64" s="393" t="s">
        <v>861</v>
      </c>
      <c r="W64" s="393" t="s">
        <v>1117</v>
      </c>
      <c r="X64" s="393" t="s">
        <v>862</v>
      </c>
      <c r="Y64" s="394" t="str">
        <f>"0x"&amp;DEC2HEX(F58)</f>
        <v>0x0</v>
      </c>
      <c r="Z64" s="412" t="s">
        <v>863</v>
      </c>
      <c r="AB64" s="405"/>
    </row>
    <row r="65" spans="3:28" ht="27" hidden="1">
      <c r="C65" s="393" t="s">
        <v>1118</v>
      </c>
      <c r="D65" s="417" t="s">
        <v>1119</v>
      </c>
      <c r="E65" s="393">
        <v>1</v>
      </c>
      <c r="F65" s="418">
        <v>1</v>
      </c>
      <c r="G65" s="419" t="s">
        <v>594</v>
      </c>
      <c r="O65" s="379" t="s">
        <v>348</v>
      </c>
      <c r="P65" s="372" t="s">
        <v>245</v>
      </c>
      <c r="Q65" s="380" t="s">
        <v>580</v>
      </c>
      <c r="R65" s="400">
        <f>IF(MOD(R61,(F57-R54))=0,0,1)</f>
        <v>1</v>
      </c>
      <c r="S65" s="401"/>
      <c r="AB65" s="405"/>
    </row>
    <row r="66" spans="3:28" ht="54" hidden="1">
      <c r="C66" s="813" t="s">
        <v>272</v>
      </c>
      <c r="D66" s="814"/>
      <c r="E66" s="814"/>
      <c r="F66" s="814"/>
      <c r="G66" s="815"/>
      <c r="O66" s="382" t="s">
        <v>351</v>
      </c>
      <c r="P66" s="366" t="s">
        <v>889</v>
      </c>
      <c r="Q66" s="380" t="s">
        <v>584</v>
      </c>
      <c r="R66" s="409">
        <f>IF(R64&lt;R56,R56,R64)</f>
        <v>648</v>
      </c>
      <c r="S66" s="401" t="s">
        <v>454</v>
      </c>
      <c r="AB66" s="405"/>
    </row>
    <row r="67" spans="3:28" ht="27" hidden="1">
      <c r="C67" s="420" t="s">
        <v>252</v>
      </c>
      <c r="D67" s="802" t="s">
        <v>407</v>
      </c>
      <c r="E67" s="802"/>
      <c r="F67" s="803">
        <f>L39</f>
        <v>8.7130024135016679</v>
      </c>
      <c r="G67" s="804"/>
      <c r="O67" s="379" t="s">
        <v>353</v>
      </c>
      <c r="P67" s="372" t="s">
        <v>890</v>
      </c>
      <c r="Q67" s="380" t="s">
        <v>586</v>
      </c>
      <c r="R67" s="409">
        <f>R55+R54+R59</f>
        <v>98</v>
      </c>
      <c r="S67" s="401" t="s">
        <v>454</v>
      </c>
      <c r="U67" s="405"/>
      <c r="V67" s="405"/>
      <c r="W67" s="405"/>
      <c r="AB67" s="405"/>
    </row>
    <row r="68" spans="3:28" ht="27" hidden="1">
      <c r="F68" s="148"/>
      <c r="G68" s="148"/>
      <c r="O68" s="379" t="s">
        <v>355</v>
      </c>
      <c r="P68" s="372" t="s">
        <v>891</v>
      </c>
      <c r="Q68" s="380" t="s">
        <v>892</v>
      </c>
      <c r="R68" s="409">
        <f>R55+R54+R60</f>
        <v>72</v>
      </c>
      <c r="S68" s="401" t="s">
        <v>454</v>
      </c>
      <c r="U68" s="406"/>
      <c r="V68" s="405"/>
      <c r="W68" s="405"/>
      <c r="AB68" s="405"/>
    </row>
    <row r="69" spans="3:28" ht="81" hidden="1">
      <c r="F69" s="148"/>
      <c r="G69" s="148"/>
      <c r="O69" s="379" t="s">
        <v>357</v>
      </c>
      <c r="P69" s="372" t="s">
        <v>246</v>
      </c>
      <c r="Q69" s="380" t="s">
        <v>893</v>
      </c>
      <c r="R69" s="409">
        <f>R63*(F57+R55)+R65*(R66+R55+R54)</f>
        <v>12808428</v>
      </c>
      <c r="S69" s="401" t="s">
        <v>454</v>
      </c>
      <c r="U69" s="406"/>
      <c r="V69" s="405"/>
      <c r="W69" s="405"/>
      <c r="X69" s="405"/>
      <c r="Y69" s="405"/>
    </row>
    <row r="70" spans="3:28" ht="33" hidden="1" customHeight="1">
      <c r="C70" s="148"/>
      <c r="D70" s="148"/>
      <c r="E70" s="148"/>
      <c r="F70" s="148"/>
      <c r="G70" s="148"/>
      <c r="O70" s="387" t="s">
        <v>358</v>
      </c>
      <c r="P70" s="372" t="s">
        <v>894</v>
      </c>
      <c r="Q70" s="372" t="s">
        <v>895</v>
      </c>
      <c r="R70" s="422">
        <f>(2+R65+R63)*(R53+F58)</f>
        <v>100752</v>
      </c>
      <c r="S70" s="378" t="s">
        <v>454</v>
      </c>
      <c r="U70" s="406"/>
      <c r="V70" s="405"/>
      <c r="X70" s="405"/>
      <c r="Y70" s="405"/>
    </row>
    <row r="71" spans="3:28" ht="40.5" hidden="1">
      <c r="C71" s="148"/>
      <c r="D71" s="148"/>
      <c r="E71" s="148"/>
      <c r="F71" s="148"/>
      <c r="G71" s="148"/>
      <c r="O71" s="369" t="s">
        <v>359</v>
      </c>
      <c r="P71" s="366" t="s">
        <v>896</v>
      </c>
      <c r="Q71" s="366" t="s">
        <v>607</v>
      </c>
      <c r="R71" s="390">
        <f>R67+R68+R69+R70</f>
        <v>12909350</v>
      </c>
      <c r="S71" s="378" t="s">
        <v>454</v>
      </c>
      <c r="U71" s="406"/>
      <c r="V71" s="405"/>
      <c r="W71" s="405"/>
      <c r="X71" s="405"/>
      <c r="Y71" s="405"/>
    </row>
    <row r="72" spans="3:28" ht="27" hidden="1">
      <c r="O72" s="387" t="s">
        <v>361</v>
      </c>
      <c r="P72" s="372" t="s">
        <v>360</v>
      </c>
      <c r="Q72" s="372" t="s">
        <v>897</v>
      </c>
      <c r="R72" s="381">
        <f>INT(1000000*F56*(100-F59)/80)</f>
        <v>1125000000</v>
      </c>
      <c r="S72" s="423" t="s">
        <v>898</v>
      </c>
      <c r="U72" s="406"/>
      <c r="V72" s="405"/>
      <c r="W72" s="405"/>
      <c r="X72" s="405"/>
      <c r="Y72" s="405"/>
    </row>
    <row r="73" spans="3:28" ht="67.5" hidden="1">
      <c r="O73" s="421" t="s">
        <v>363</v>
      </c>
      <c r="P73" s="393" t="s">
        <v>362</v>
      </c>
      <c r="Q73" s="393" t="s">
        <v>900</v>
      </c>
      <c r="R73" s="394">
        <f>IF(F41="Ultra Short",ROUNDUP(R71*1000000/R72,0)*10,ROUNDUP(ROUNDUP(R71*1000000000/R72,0)*10/L37,0))</f>
        <v>5270</v>
      </c>
      <c r="S73" s="419" t="str">
        <f>IF(F41="Ultra Short","us","line")</f>
        <v>line</v>
      </c>
      <c r="U73" s="406"/>
      <c r="V73" s="405"/>
      <c r="W73" s="405"/>
      <c r="X73" s="405"/>
      <c r="Y73" s="405"/>
    </row>
    <row r="74" spans="3:28" hidden="1"/>
    <row r="75" spans="3:28" hidden="1"/>
    <row r="76" spans="3:28" hidden="1"/>
    <row r="77" spans="3:28" hidden="1">
      <c r="O77" s="148"/>
      <c r="P77" s="148"/>
      <c r="Q77" s="148"/>
      <c r="R77" s="148"/>
      <c r="S77" s="148"/>
    </row>
    <row r="78" spans="3:28" hidden="1">
      <c r="O78" s="148"/>
      <c r="P78" s="148"/>
      <c r="Q78" s="148"/>
      <c r="R78" s="148"/>
      <c r="S78" s="148"/>
    </row>
    <row r="79" spans="3:28" ht="40.5" hidden="1" customHeight="1">
      <c r="O79" s="148"/>
      <c r="P79" s="148"/>
      <c r="Q79" s="148"/>
      <c r="R79" s="148"/>
      <c r="S79" s="148"/>
    </row>
    <row r="80" spans="3:28" hidden="1">
      <c r="O80" s="148"/>
      <c r="P80" s="148"/>
      <c r="Q80" s="148"/>
      <c r="R80" s="148"/>
      <c r="S80" s="148"/>
    </row>
    <row r="81" spans="15:19" hidden="1">
      <c r="O81" s="148"/>
      <c r="P81" s="148"/>
      <c r="Q81" s="148"/>
      <c r="R81" s="148"/>
      <c r="S81" s="148"/>
    </row>
    <row r="82" spans="15:19" ht="60.75" hidden="1" customHeight="1">
      <c r="O82" s="148"/>
      <c r="P82" s="148"/>
      <c r="Q82" s="148"/>
      <c r="R82" s="148"/>
      <c r="S82" s="148"/>
    </row>
    <row r="83" spans="15:19" hidden="1">
      <c r="O83" s="148"/>
      <c r="P83" s="148"/>
      <c r="Q83" s="148"/>
      <c r="R83" s="148"/>
      <c r="S83" s="148"/>
    </row>
    <row r="84" spans="15:19" hidden="1">
      <c r="O84" s="148"/>
      <c r="P84" s="148"/>
      <c r="Q84" s="148"/>
      <c r="R84" s="148"/>
      <c r="S84" s="148"/>
    </row>
    <row r="85" spans="15:19" hidden="1">
      <c r="O85" s="148"/>
      <c r="P85" s="148"/>
      <c r="Q85" s="148"/>
      <c r="R85" s="148"/>
      <c r="S85" s="148"/>
    </row>
    <row r="86" spans="15:19">
      <c r="O86" s="148"/>
      <c r="P86" s="148"/>
      <c r="Q86" s="148"/>
      <c r="R86" s="148"/>
      <c r="S86" s="148"/>
    </row>
    <row r="87" spans="15:19">
      <c r="O87" s="148"/>
      <c r="P87" s="148"/>
      <c r="Q87" s="148"/>
      <c r="R87" s="148"/>
      <c r="S87" s="148"/>
    </row>
    <row r="88" spans="15:19">
      <c r="O88" s="148"/>
      <c r="P88" s="148"/>
      <c r="Q88" s="148"/>
      <c r="R88" s="148"/>
      <c r="S88" s="148"/>
    </row>
  </sheetData>
  <sheetProtection algorithmName="SHA-512" hashValue="cYSTNkQIoTrfDFwfrhhL10wwbTKHR6R/L3F7eFIBcmdU9JuiAeO6mcG9krXZUyJjs8iuyMiWDtk80d8nk8yDBA==" saltValue="5cD57PWWS06Pw39rlCts3Q==" spinCount="100000" sheet="1" objects="1" selectLockedCells="1"/>
  <mergeCells count="28">
    <mergeCell ref="I34:M34"/>
    <mergeCell ref="O34:S34"/>
    <mergeCell ref="U34:AN34"/>
    <mergeCell ref="C35:G35"/>
    <mergeCell ref="O35:S35"/>
    <mergeCell ref="I36:M36"/>
    <mergeCell ref="C37:G37"/>
    <mergeCell ref="C39:G39"/>
    <mergeCell ref="I40:M40"/>
    <mergeCell ref="C44:G44"/>
    <mergeCell ref="O44:S44"/>
    <mergeCell ref="I45:M45"/>
    <mergeCell ref="C46:G46"/>
    <mergeCell ref="C48:G48"/>
    <mergeCell ref="I51:M51"/>
    <mergeCell ref="U51:Z51"/>
    <mergeCell ref="U52:Z52"/>
    <mergeCell ref="C53:G53"/>
    <mergeCell ref="C55:G55"/>
    <mergeCell ref="I55:M55"/>
    <mergeCell ref="D67:E67"/>
    <mergeCell ref="F67:G67"/>
    <mergeCell ref="Z54:Z59"/>
    <mergeCell ref="I57:M57"/>
    <mergeCell ref="O57:S57"/>
    <mergeCell ref="C60:G60"/>
    <mergeCell ref="C63:G63"/>
    <mergeCell ref="C66:G66"/>
  </mergeCells>
  <phoneticPr fontId="37" type="noConversion"/>
  <dataValidations count="38">
    <dataValidation type="custom" allowBlank="1" showInputMessage="1" showErrorMessage="1" errorTitle="Invalid input value" error="minimum value  is 64,maximum value is 4096,step is 4" sqref="B2">
      <formula1>AND((B2&lt;=4096),(B2&gt;=64),(MOD(B2,4)=0))</formula1>
    </dataValidation>
    <dataValidation type="whole" allowBlank="1" showInputMessage="1" showErrorMessage="1" errorTitle="超出范围" error="曝光时间的范围是36us-1s" sqref="C4">
      <formula1>36</formula1>
      <formula2>1000000</formula2>
    </dataValidation>
    <dataValidation type="whole" allowBlank="1" showInputMessage="1" showErrorMessage="1" error="设置值范围为0~包间隔最大值" sqref="C7">
      <formula1>0</formula1>
      <formula2>C8</formula2>
    </dataValidation>
    <dataValidation allowBlank="1" showInputMessage="1" showErrorMessage="1" error="输入范围是64~1024，步长为2" sqref="A1:C1"/>
    <dataValidation type="custom" allowBlank="1" showInputMessage="1" showErrorMessage="1" errorTitle="输入数值非法" error="最小值64，最大值4096，步长为4" sqref="C2">
      <formula1>AND((C2&lt;=4096),(C2&gt;=64),(MOD(C2,4)=0))</formula1>
    </dataValidation>
    <dataValidation type="custom" allowBlank="1" showInputMessage="1" showErrorMessage="1" errorTitle="Invalid input value" error="input range is 64~3000,step is 2" sqref="B3">
      <formula1>AND((B3&lt;=3000),(B3&gt;=64),(MOD(B3,2)=0))</formula1>
    </dataValidation>
    <dataValidation type="custom" allowBlank="1" showInputMessage="1" showErrorMessage="1" errorTitle="输入数值非法" error="输入范围是64~3000，步长为2" sqref="C3">
      <formula1>AND((C3&lt;=3000),(C3&gt;=64),(MOD(C3,2)=0))</formula1>
    </dataValidation>
    <dataValidation type="custom" allowBlank="1" showInputMessage="1" showErrorMessage="1" error="please input 8 or 12" sqref="B5">
      <formula1>OR((B5=8),(B5=12))</formula1>
    </dataValidation>
    <dataValidation type="whole" allowBlank="1" showInputMessage="1" showErrorMessage="1" errorTitle="out of range " error="input range is 36us-1s" sqref="B4">
      <formula1>36</formula1>
      <formula2>1000000</formula2>
    </dataValidation>
    <dataValidation type="custom" allowBlank="1" showInputMessage="1" showErrorMessage="1" error="请输入8或者12" sqref="C5">
      <formula1>OR((C5=8),(C5=12))</formula1>
    </dataValidation>
    <dataValidation type="custom" allowBlank="1" showInputMessage="1" showErrorMessage="1" error="input range is 512~8192,step is 4" sqref="B6">
      <formula1>AND((B6&lt;=8192),(B6&gt;=512),(MOD(B6,4)=0))</formula1>
    </dataValidation>
    <dataValidation type="custom" allowBlank="1" showInputMessage="1" showErrorMessage="1" error="输入范围是512~8192，步长为4" sqref="C6">
      <formula1>AND((C6&lt;=8192),(C6&gt;=512),(MOD(C6,4)=0))</formula1>
    </dataValidation>
    <dataValidation type="whole" allowBlank="1" showInputMessage="1" showErrorMessage="1" error="input range is 0~GevSCPDMaxValue" sqref="B7">
      <formula1>0</formula1>
      <formula2>B8</formula2>
    </dataValidation>
    <dataValidation type="custom" allowBlank="1" showInputMessage="1" showErrorMessage="1" error="input range is 0.1~10000.0,accurate to one decimal" sqref="B9">
      <formula1>AND(TRUNC(B9,1)=B9,(B9&gt;=0.1),(B9&lt;=10000))</formula1>
    </dataValidation>
    <dataValidation type="list" allowBlank="1" showInputMessage="1" showErrorMessage="1" errorTitle="超出范围" error="曝光时间的范围是63us-1s" sqref="F41">
      <formula1>"Standard,Ultra Short"</formula1>
    </dataValidation>
    <dataValidation type="custom" allowBlank="1" showInputMessage="1" showErrorMessage="1" error="设置值范围0.1~10000.0，精确到一位小数" sqref="C9">
      <formula1>AND(TRUNC(C9,1)=C9,(C9&gt;=0.1),(C9&lt;=10000))</formula1>
    </dataValidation>
    <dataValidation type="list" allowBlank="1" showInputMessage="1" showErrorMessage="1" errorTitle="out of range " error="please input 0 or 1" sqref="B10">
      <formula1>"0,1"</formula1>
    </dataValidation>
    <dataValidation type="whole" allowBlank="1" showInputMessage="1" showErrorMessage="1" errorTitle="超出范围" error="极小曝光模式的范围是1us-100us_x000a_普通曝光模式的范围是36us-1s" sqref="F42">
      <formula1>IF(F41="Ultra Short",1,36)</formula1>
      <formula2>IF(F41="Ultra Short",100,1000000)</formula2>
    </dataValidation>
    <dataValidation type="list" allowBlank="1" showInputMessage="1" showErrorMessage="1" errorTitle="超出范围" error="请输入0或者1" sqref="C10">
      <formula1>"0,1"</formula1>
    </dataValidation>
    <dataValidation type="whole" allowBlank="1" showInputMessage="1" showErrorMessage="1" error="Input range:[0, 'BandwidthReserveMaxValue'], and is an integer multiple of 1" sqref="B12">
      <formula1>0</formula1>
      <formula2>B13</formula2>
    </dataValidation>
    <dataValidation type="custom" allowBlank="1" showInputMessage="1" showErrorMessage="1" error="please input 1000 or 100" sqref="B11">
      <formula1>OR((B11=1000),(B11=100))</formula1>
    </dataValidation>
    <dataValidation type="custom" allowBlank="1" showInputMessage="1" showErrorMessage="1" error="请输入1000或者100" sqref="C11">
      <formula1>OR((C11=1000),(C11=100))</formula1>
    </dataValidation>
    <dataValidation type="list" allowBlank="1" showInputMessage="1" showErrorMessage="1" sqref="F64:F65">
      <formula1>"1,2"</formula1>
    </dataValidation>
    <dataValidation type="whole" allowBlank="1" showInputMessage="1" showErrorMessage="1" sqref="C12">
      <formula1>0</formula1>
      <formula2>C13</formula2>
    </dataValidation>
    <dataValidation type="list" allowBlank="1" showInputMessage="1" showErrorMessage="1" sqref="E34">
      <formula1>$U$36:$U$41</formula1>
    </dataValidation>
    <dataValidation type="whole" allowBlank="1" showInputMessage="1" showErrorMessage="1" errorTitle="输入数值非法" error="最小值64，最大值D13" sqref="F52">
      <formula1>2</formula1>
      <formula2>E52</formula2>
    </dataValidation>
    <dataValidation type="list" allowBlank="1" showInputMessage="1" showErrorMessage="1" sqref="F38">
      <formula1>"8,10,12"</formula1>
    </dataValidation>
    <dataValidation type="whole" allowBlank="1" showInputMessage="1" showErrorMessage="1" errorTitle="超出范围" error="曝光延迟的范围是0-5000us" sqref="F43">
      <formula1>0</formula1>
      <formula2>5000</formula2>
    </dataValidation>
    <dataValidation type="list" allowBlank="1" showInputMessage="1" showErrorMessage="1" errorTitle="超出范围" error="曝光时间的范围是20us-1s" sqref="F45">
      <formula1>"0,1"</formula1>
    </dataValidation>
    <dataValidation type="whole" allowBlank="1" showInputMessage="1" showErrorMessage="1" errorTitle="超出范围" error="触发延时的范围是0-3000000us" sqref="F47">
      <formula1>0</formula1>
      <formula2>3000000</formula2>
    </dataValidation>
    <dataValidation type="whole" allowBlank="1" showInputMessage="1" showErrorMessage="1" errorTitle="输入数值非法" error="最小值64，最大值D12" sqref="F51">
      <formula1>64</formula1>
      <formula2>E51</formula2>
    </dataValidation>
    <dataValidation type="list" allowBlank="1" showInputMessage="1" showErrorMessage="1" sqref="F54">
      <formula1>"0,1"</formula1>
    </dataValidation>
    <dataValidation type="list" allowBlank="1" showInputMessage="1" showErrorMessage="1" sqref="F56">
      <formula1>"1000,100"</formula1>
    </dataValidation>
    <dataValidation type="custom" allowBlank="1" showInputMessage="1" showErrorMessage="1" sqref="F57">
      <formula1>AND(MOD(F57,4)=0,F57&gt;=512,F57&lt;=16384)</formula1>
    </dataValidation>
    <dataValidation type="whole" allowBlank="1" showInputMessage="1" showErrorMessage="1" errorTitle="设置值超出范围" error="包间隔设置值超出范围" sqref="F58">
      <formula1>0</formula1>
      <formula2>L56</formula2>
    </dataValidation>
    <dataValidation type="list" allowBlank="1" showInputMessage="1" showErrorMessage="1" errorTitle="超出范围" error="0:关闭_x000a_1:打开" sqref="F61">
      <formula1>"0,1"</formula1>
    </dataValidation>
    <dataValidation type="whole" allowBlank="1" showInputMessage="1" showErrorMessage="1" errorTitle="设置值超出范围" error="预留带宽设置值超出范围" sqref="F59">
      <formula1>0</formula1>
      <formula2>L58</formula2>
    </dataValidation>
    <dataValidation type="decimal" allowBlank="1" showInputMessage="1" showErrorMessage="1" sqref="F62">
      <formula1>0.1</formula1>
      <formula2>10000</formula2>
    </dataValidation>
  </dataValidations>
  <pageMargins left="0.7" right="0.7" top="0.75" bottom="0.75" header="0.3" footer="0.3"/>
  <pageSetup paperSize="9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112"/>
  <sheetViews>
    <sheetView topLeftCell="B1" workbookViewId="0">
      <selection activeCell="C4" sqref="C4"/>
    </sheetView>
  </sheetViews>
  <sheetFormatPr defaultColWidth="9" defaultRowHeight="13.5"/>
  <cols>
    <col min="1" max="1" width="12.375" hidden="1" customWidth="1"/>
    <col min="2" max="2" width="30.5" customWidth="1"/>
    <col min="3" max="3" width="11" customWidth="1"/>
    <col min="10" max="10" width="11.5" customWidth="1"/>
  </cols>
  <sheetData>
    <row r="1" spans="1:53">
      <c r="A1" s="260" t="s">
        <v>197</v>
      </c>
      <c r="B1" s="260"/>
      <c r="C1" s="261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</row>
    <row r="2" spans="1:53">
      <c r="A2" s="262" t="s">
        <v>198</v>
      </c>
      <c r="B2" s="262" t="s">
        <v>199</v>
      </c>
      <c r="C2" s="262">
        <f>C28</f>
        <v>4096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</row>
    <row r="3" spans="1:53">
      <c r="A3" s="262" t="s">
        <v>200</v>
      </c>
      <c r="B3" s="262" t="s">
        <v>201</v>
      </c>
      <c r="C3" s="262">
        <f>C29</f>
        <v>3072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</row>
    <row r="4" spans="1:53">
      <c r="A4" s="260" t="s">
        <v>202</v>
      </c>
      <c r="B4" s="260" t="s">
        <v>203</v>
      </c>
      <c r="C4" s="107">
        <v>4096</v>
      </c>
      <c r="D4" s="263" t="str">
        <f>IF(OR(C4&gt;C2,C4&lt;4),D28,"")</f>
        <v/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</row>
    <row r="5" spans="1:53">
      <c r="A5" s="260" t="s">
        <v>204</v>
      </c>
      <c r="B5" s="260" t="s">
        <v>205</v>
      </c>
      <c r="C5" s="107">
        <v>3072</v>
      </c>
      <c r="D5" s="263" t="str">
        <f>IF(OR(C5&gt;C3,C5&lt;4),D29,"")</f>
        <v/>
      </c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</row>
    <row r="6" spans="1:53">
      <c r="A6" s="262" t="s">
        <v>206</v>
      </c>
      <c r="B6" s="262" t="s">
        <v>207</v>
      </c>
      <c r="C6" s="264">
        <v>1</v>
      </c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</row>
    <row r="7" spans="1:53">
      <c r="A7" s="262" t="s">
        <v>208</v>
      </c>
      <c r="B7" s="262" t="s">
        <v>209</v>
      </c>
      <c r="C7" s="264">
        <v>1</v>
      </c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</row>
    <row r="8" spans="1:53">
      <c r="A8" s="262" t="s">
        <v>210</v>
      </c>
      <c r="B8" s="262" t="s">
        <v>211</v>
      </c>
      <c r="C8" s="264">
        <v>1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</row>
    <row r="9" spans="1:53">
      <c r="A9" s="262" t="s">
        <v>212</v>
      </c>
      <c r="B9" s="262" t="s">
        <v>213</v>
      </c>
      <c r="C9" s="264">
        <v>1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</row>
    <row r="10" spans="1:53">
      <c r="A10" s="260" t="s">
        <v>214</v>
      </c>
      <c r="B10" s="260" t="s">
        <v>215</v>
      </c>
      <c r="C10" s="107">
        <v>60000</v>
      </c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</row>
    <row r="11" spans="1:53">
      <c r="A11" s="260" t="s">
        <v>216</v>
      </c>
      <c r="B11" s="260" t="s">
        <v>217</v>
      </c>
      <c r="C11" s="107">
        <v>0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</row>
    <row r="12" spans="1:53">
      <c r="A12" s="260" t="s">
        <v>218</v>
      </c>
      <c r="B12" s="260" t="s">
        <v>219</v>
      </c>
      <c r="C12" s="107">
        <v>8</v>
      </c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</row>
    <row r="13" spans="1:53">
      <c r="A13" s="260" t="s">
        <v>220</v>
      </c>
      <c r="B13" s="260" t="s">
        <v>221</v>
      </c>
      <c r="C13" s="107">
        <v>1500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</row>
    <row r="14" spans="1:53">
      <c r="A14" s="260" t="s">
        <v>222</v>
      </c>
      <c r="B14" s="260" t="s">
        <v>223</v>
      </c>
      <c r="C14" s="107">
        <v>0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</row>
    <row r="15" spans="1:53">
      <c r="A15" s="260" t="s">
        <v>224</v>
      </c>
      <c r="B15" s="260" t="s">
        <v>225</v>
      </c>
      <c r="C15" s="104">
        <f>J61</f>
        <v>129321</v>
      </c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</row>
    <row r="16" spans="1:53">
      <c r="A16" s="260" t="s">
        <v>226</v>
      </c>
      <c r="B16" s="260" t="s">
        <v>227</v>
      </c>
      <c r="C16" s="107">
        <v>9</v>
      </c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</row>
    <row r="17" spans="1:53">
      <c r="A17" s="260" t="s">
        <v>228</v>
      </c>
      <c r="B17" s="260" t="s">
        <v>229</v>
      </c>
      <c r="C17" s="107">
        <v>0</v>
      </c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</row>
    <row r="18" spans="1:53">
      <c r="A18" s="260" t="s">
        <v>230</v>
      </c>
      <c r="B18" s="260" t="s">
        <v>231</v>
      </c>
      <c r="C18" s="107">
        <v>1000</v>
      </c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</row>
    <row r="19" spans="1:53">
      <c r="A19" s="260" t="s">
        <v>232</v>
      </c>
      <c r="B19" s="260" t="s">
        <v>233</v>
      </c>
      <c r="C19" s="107">
        <v>10</v>
      </c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</row>
    <row r="20" spans="1:53">
      <c r="A20" s="260" t="s">
        <v>234</v>
      </c>
      <c r="B20" s="260" t="s">
        <v>235</v>
      </c>
      <c r="C20" s="104">
        <f>J63</f>
        <v>98</v>
      </c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</row>
    <row r="21" spans="1:53">
      <c r="A21" s="104" t="s">
        <v>280</v>
      </c>
      <c r="B21" s="104" t="s">
        <v>281</v>
      </c>
      <c r="C21" s="107">
        <v>0</v>
      </c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</row>
    <row r="22" spans="1:53">
      <c r="A22" s="260"/>
      <c r="B22" s="260"/>
      <c r="C22" s="104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</row>
    <row r="23" spans="1:53" ht="14.25">
      <c r="A23" s="265" t="s">
        <v>272</v>
      </c>
      <c r="B23" s="265"/>
      <c r="C23" s="118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</row>
    <row r="24" spans="1:53" ht="14.25" customHeight="1">
      <c r="A24" s="265" t="s">
        <v>252</v>
      </c>
      <c r="B24" s="265" t="s">
        <v>273</v>
      </c>
      <c r="C24" s="266">
        <f>D76</f>
        <v>8.5095519720886692</v>
      </c>
      <c r="D24" s="263" t="str">
        <f>IF(E34=1,D30,"")</f>
        <v/>
      </c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</row>
    <row r="25" spans="1:53">
      <c r="A25" s="176"/>
      <c r="B25" s="176"/>
      <c r="C25" s="267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</row>
    <row r="26" spans="1:53" hidden="1">
      <c r="A26" s="176"/>
      <c r="B26" s="176"/>
      <c r="C26" s="267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</row>
    <row r="27" spans="1:53" hidden="1">
      <c r="A27" s="176"/>
      <c r="B27" s="176"/>
      <c r="C27" s="267"/>
      <c r="D27" s="268" t="s">
        <v>368</v>
      </c>
      <c r="E27" s="268"/>
      <c r="F27" s="268"/>
      <c r="G27" s="268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  <c r="AX27" s="176"/>
      <c r="AY27" s="176"/>
      <c r="AZ27" s="176"/>
      <c r="BA27" s="176"/>
    </row>
    <row r="28" spans="1:53" hidden="1">
      <c r="A28" s="269" t="s">
        <v>262</v>
      </c>
      <c r="B28" s="269"/>
      <c r="C28" s="269">
        <f>ROUNDDOWN(4096/(4*C30),0)*4</f>
        <v>4096</v>
      </c>
      <c r="D28" s="270" t="s">
        <v>650</v>
      </c>
      <c r="E28" s="268"/>
      <c r="F28" s="268"/>
      <c r="G28" s="268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</row>
    <row r="29" spans="1:53" hidden="1">
      <c r="A29" s="269" t="s">
        <v>263</v>
      </c>
      <c r="B29" s="269"/>
      <c r="C29" s="269">
        <f>ROUNDDOWN(3072/(4*C31),0)*4</f>
        <v>3072</v>
      </c>
      <c r="D29" s="270" t="s">
        <v>651</v>
      </c>
      <c r="E29" s="268"/>
      <c r="F29" s="268"/>
      <c r="G29" s="268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</row>
    <row r="30" spans="1:53" hidden="1">
      <c r="A30" s="269" t="s">
        <v>264</v>
      </c>
      <c r="B30" s="269"/>
      <c r="C30" s="269">
        <f>IF(C6=1,C8,C6)</f>
        <v>1</v>
      </c>
      <c r="D30" s="270" t="s">
        <v>277</v>
      </c>
      <c r="E30" s="268"/>
      <c r="F30" s="268"/>
      <c r="G30" s="268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</row>
    <row r="31" spans="1:53" hidden="1">
      <c r="A31" s="269" t="s">
        <v>265</v>
      </c>
      <c r="B31" s="269"/>
      <c r="C31" s="269">
        <f>IF(C7=1,C9,C7)</f>
        <v>1</v>
      </c>
      <c r="D31" s="268"/>
      <c r="E31" s="268"/>
      <c r="F31" s="268"/>
      <c r="G31" s="268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/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  <c r="AX31" s="176"/>
      <c r="AY31" s="176"/>
      <c r="AZ31" s="176"/>
      <c r="BA31" s="176"/>
    </row>
    <row r="32" spans="1:53" hidden="1">
      <c r="A32" s="176"/>
      <c r="B32" s="176"/>
      <c r="C32" s="176"/>
      <c r="D32" s="268"/>
      <c r="E32" s="268"/>
      <c r="F32" s="268"/>
      <c r="G32" s="268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76"/>
      <c r="AI32" s="176"/>
      <c r="AJ32" s="176"/>
      <c r="AK32" s="176"/>
      <c r="AL32" s="176"/>
      <c r="AM32" s="176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</row>
    <row r="33" spans="1:53" hidden="1">
      <c r="A33" s="176"/>
      <c r="B33" s="176"/>
      <c r="C33" s="176"/>
      <c r="D33" s="268" t="s">
        <v>278</v>
      </c>
      <c r="E33" s="268"/>
      <c r="F33" s="268"/>
      <c r="G33" s="268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</row>
    <row r="34" spans="1:53" hidden="1">
      <c r="A34" s="176"/>
      <c r="B34" s="176"/>
      <c r="C34" s="176"/>
      <c r="D34" s="268"/>
      <c r="E34" s="176">
        <f>IF(OR(OR(C4&gt;C2,C4&lt;4),OR(C5&gt;C3,C5&lt;4)),1,0)</f>
        <v>0</v>
      </c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</row>
    <row r="35" spans="1:53" hidden="1">
      <c r="A35" s="166"/>
      <c r="B35" s="166"/>
      <c r="C35" s="166"/>
      <c r="D35" s="166"/>
      <c r="E35" s="166"/>
      <c r="F35" s="176"/>
      <c r="G35" s="176"/>
      <c r="H35" s="176"/>
      <c r="I35" s="176"/>
      <c r="J35" s="176"/>
      <c r="K35" s="176"/>
      <c r="L35" s="298"/>
      <c r="M35" s="298"/>
      <c r="N35" s="298"/>
      <c r="O35" s="298"/>
      <c r="P35" s="298"/>
      <c r="Q35" s="298"/>
      <c r="R35" s="298"/>
      <c r="S35" s="298"/>
      <c r="T35" s="298"/>
      <c r="U35" s="298"/>
      <c r="V35" s="298"/>
      <c r="W35" s="298"/>
      <c r="X35" s="298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</row>
    <row r="36" spans="1:53" hidden="1">
      <c r="A36" s="271"/>
      <c r="B36" s="271"/>
      <c r="C36" s="271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71"/>
      <c r="V36" s="271"/>
      <c r="W36" s="271"/>
      <c r="X36" s="271"/>
      <c r="Y36" s="271"/>
      <c r="Z36" s="271"/>
      <c r="AA36" s="271"/>
      <c r="AB36" s="271"/>
      <c r="AC36" s="271"/>
      <c r="AD36" s="271"/>
      <c r="AE36" s="271"/>
      <c r="AF36" s="271"/>
      <c r="AG36" s="271"/>
      <c r="AH36" s="271"/>
      <c r="AI36" s="271"/>
      <c r="AJ36" s="271"/>
      <c r="AK36" s="271"/>
      <c r="AL36" s="271"/>
      <c r="AM36" s="271"/>
      <c r="AN36" s="271"/>
      <c r="AO36" s="271"/>
      <c r="AP36" s="271"/>
      <c r="AQ36" s="271"/>
      <c r="AR36" s="271"/>
      <c r="AS36" s="271"/>
      <c r="AT36" s="176"/>
      <c r="AU36" s="176"/>
      <c r="AV36" s="176"/>
      <c r="AW36" s="176"/>
      <c r="AX36" s="176"/>
      <c r="AY36" s="176"/>
      <c r="AZ36" s="176"/>
      <c r="BA36" s="176"/>
    </row>
    <row r="37" spans="1:53" ht="27" hidden="1">
      <c r="A37" s="272" t="s">
        <v>652</v>
      </c>
      <c r="B37" s="272" t="s">
        <v>653</v>
      </c>
      <c r="C37" s="273" t="s">
        <v>1120</v>
      </c>
      <c r="D37" s="274"/>
      <c r="E37" s="274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  <c r="Q37" s="275"/>
      <c r="R37" s="275"/>
      <c r="S37" s="274"/>
      <c r="T37" s="274"/>
      <c r="U37" s="274"/>
      <c r="V37" s="274"/>
      <c r="W37" s="274"/>
      <c r="X37" s="274"/>
      <c r="Y37" s="275"/>
      <c r="Z37" s="275"/>
      <c r="AA37" s="275"/>
      <c r="AB37" s="275"/>
      <c r="AC37" s="275"/>
      <c r="AD37" s="275"/>
      <c r="AE37" s="275"/>
      <c r="AF37" s="275"/>
      <c r="AG37" s="275"/>
      <c r="AH37" s="275"/>
      <c r="AI37" s="275"/>
      <c r="AJ37" s="275"/>
      <c r="AK37" s="275"/>
      <c r="AL37" s="275"/>
      <c r="AM37" s="275"/>
      <c r="AN37" s="275"/>
      <c r="AO37" s="275"/>
      <c r="AP37" s="275"/>
      <c r="AQ37" s="275"/>
      <c r="AR37" s="275"/>
      <c r="AS37" s="275"/>
    </row>
    <row r="38" spans="1:53" ht="27" hidden="1">
      <c r="A38" s="276" t="s">
        <v>431</v>
      </c>
      <c r="B38" s="277" t="s">
        <v>430</v>
      </c>
      <c r="C38" s="278" t="s">
        <v>1121</v>
      </c>
      <c r="D38" s="274"/>
      <c r="E38" s="274"/>
      <c r="F38" s="275"/>
      <c r="G38" s="855" t="s">
        <v>435</v>
      </c>
      <c r="H38" s="856"/>
      <c r="I38" s="856"/>
      <c r="J38" s="856"/>
      <c r="K38" s="857"/>
      <c r="L38" s="275"/>
      <c r="M38" s="855" t="s">
        <v>656</v>
      </c>
      <c r="N38" s="856"/>
      <c r="O38" s="856"/>
      <c r="P38" s="856"/>
      <c r="Q38" s="857"/>
      <c r="R38" s="275"/>
      <c r="S38" s="858" t="s">
        <v>657</v>
      </c>
      <c r="T38" s="859"/>
      <c r="U38" s="859"/>
      <c r="V38" s="859"/>
      <c r="W38" s="859"/>
      <c r="X38" s="859"/>
      <c r="Y38" s="859"/>
      <c r="Z38" s="859"/>
      <c r="AA38" s="859"/>
      <c r="AB38" s="859"/>
      <c r="AC38" s="859"/>
      <c r="AD38" s="859"/>
      <c r="AE38" s="859"/>
      <c r="AF38" s="859"/>
      <c r="AG38" s="859"/>
      <c r="AH38" s="859"/>
      <c r="AI38" s="859"/>
      <c r="AJ38" s="859"/>
      <c r="AK38" s="859"/>
      <c r="AL38" s="859"/>
      <c r="AM38" s="859"/>
      <c r="AN38" s="859"/>
      <c r="AO38" s="859"/>
      <c r="AP38" s="859"/>
      <c r="AQ38" s="859"/>
      <c r="AR38" s="859"/>
      <c r="AS38" s="859"/>
    </row>
    <row r="39" spans="1:53" ht="54" hidden="1">
      <c r="A39" s="860" t="s">
        <v>658</v>
      </c>
      <c r="B39" s="856"/>
      <c r="C39" s="856"/>
      <c r="D39" s="856"/>
      <c r="E39" s="857"/>
      <c r="F39" s="275"/>
      <c r="G39" s="279" t="s">
        <v>444</v>
      </c>
      <c r="H39" s="280" t="s">
        <v>438</v>
      </c>
      <c r="I39" s="299" t="s">
        <v>447</v>
      </c>
      <c r="J39" s="280" t="s">
        <v>448</v>
      </c>
      <c r="K39" s="300" t="s">
        <v>449</v>
      </c>
      <c r="L39" s="275"/>
      <c r="M39" s="833" t="s">
        <v>659</v>
      </c>
      <c r="N39" s="834"/>
      <c r="O39" s="834"/>
      <c r="P39" s="834"/>
      <c r="Q39" s="835"/>
      <c r="R39" s="275"/>
      <c r="S39" s="313" t="s">
        <v>660</v>
      </c>
      <c r="T39" s="314" t="s">
        <v>661</v>
      </c>
      <c r="U39" s="314" t="s">
        <v>662</v>
      </c>
      <c r="V39" s="314" t="s">
        <v>663</v>
      </c>
      <c r="W39" s="314" t="s">
        <v>664</v>
      </c>
      <c r="X39" s="314" t="s">
        <v>665</v>
      </c>
      <c r="Y39" s="314" t="s">
        <v>666</v>
      </c>
      <c r="Z39" s="314" t="s">
        <v>667</v>
      </c>
      <c r="AA39" s="314" t="s">
        <v>668</v>
      </c>
      <c r="AB39" s="314" t="s">
        <v>669</v>
      </c>
      <c r="AC39" s="314" t="s">
        <v>670</v>
      </c>
      <c r="AD39" s="314" t="s">
        <v>671</v>
      </c>
      <c r="AE39" s="314" t="s">
        <v>672</v>
      </c>
      <c r="AF39" s="314" t="s">
        <v>673</v>
      </c>
      <c r="AG39" s="324" t="s">
        <v>674</v>
      </c>
      <c r="AH39" s="314" t="s">
        <v>675</v>
      </c>
      <c r="AI39" s="314" t="s">
        <v>676</v>
      </c>
      <c r="AJ39" s="314" t="s">
        <v>677</v>
      </c>
      <c r="AK39" s="314" t="s">
        <v>678</v>
      </c>
      <c r="AL39" s="314" t="s">
        <v>679</v>
      </c>
      <c r="AM39" s="314" t="s">
        <v>680</v>
      </c>
      <c r="AN39" s="325" t="s">
        <v>681</v>
      </c>
      <c r="AO39" s="325" t="s">
        <v>682</v>
      </c>
      <c r="AP39" s="331" t="s">
        <v>683</v>
      </c>
      <c r="AQ39" s="331" t="s">
        <v>684</v>
      </c>
      <c r="AR39" s="331" t="s">
        <v>685</v>
      </c>
      <c r="AS39" s="331" t="s">
        <v>686</v>
      </c>
    </row>
    <row r="40" spans="1:53" ht="27" hidden="1">
      <c r="A40" s="280" t="s">
        <v>444</v>
      </c>
      <c r="B40" s="280" t="s">
        <v>687</v>
      </c>
      <c r="C40" s="280" t="s">
        <v>445</v>
      </c>
      <c r="D40" s="280" t="s">
        <v>446</v>
      </c>
      <c r="E40" s="281" t="s">
        <v>449</v>
      </c>
      <c r="F40" s="275"/>
      <c r="G40" s="833" t="s">
        <v>252</v>
      </c>
      <c r="H40" s="834"/>
      <c r="I40" s="834"/>
      <c r="J40" s="834"/>
      <c r="K40" s="835"/>
      <c r="L40" s="275"/>
      <c r="M40" s="279" t="s">
        <v>444</v>
      </c>
      <c r="N40" s="280" t="s">
        <v>438</v>
      </c>
      <c r="O40" s="280" t="s">
        <v>447</v>
      </c>
      <c r="P40" s="280" t="s">
        <v>688</v>
      </c>
      <c r="Q40" s="281" t="s">
        <v>449</v>
      </c>
      <c r="R40" s="275"/>
      <c r="S40" s="315" t="s">
        <v>1121</v>
      </c>
      <c r="T40" s="283" t="s">
        <v>690</v>
      </c>
      <c r="U40" s="283" t="s">
        <v>691</v>
      </c>
      <c r="V40" s="286">
        <v>32000</v>
      </c>
      <c r="W40" s="283">
        <v>2</v>
      </c>
      <c r="X40" s="283">
        <v>3</v>
      </c>
      <c r="Y40" s="283">
        <v>32</v>
      </c>
      <c r="Z40" s="283">
        <v>8</v>
      </c>
      <c r="AA40" s="283">
        <v>1</v>
      </c>
      <c r="AB40" s="283">
        <v>8</v>
      </c>
      <c r="AC40" s="283">
        <v>2048</v>
      </c>
      <c r="AD40" s="283">
        <v>4</v>
      </c>
      <c r="AE40" s="283">
        <f>IF(D73=2,2048,4096)</f>
        <v>4096</v>
      </c>
      <c r="AF40" s="283">
        <f>IF(D74=2,1536,3072)</f>
        <v>3072</v>
      </c>
      <c r="AG40" s="326">
        <f>IF(D73=2,384,732)</f>
        <v>732</v>
      </c>
      <c r="AH40" s="286">
        <v>14</v>
      </c>
      <c r="AI40" s="286">
        <v>14</v>
      </c>
      <c r="AJ40" s="286">
        <f>IF(D46="standard",7,4)</f>
        <v>7</v>
      </c>
      <c r="AK40" s="286">
        <v>9</v>
      </c>
      <c r="AL40" s="283">
        <f>IF(D46="Ultra short",161,60000)</f>
        <v>60000</v>
      </c>
      <c r="AM40" s="283">
        <v>9</v>
      </c>
      <c r="AN40" s="327" t="s">
        <v>692</v>
      </c>
      <c r="AO40" s="327">
        <v>4</v>
      </c>
      <c r="AP40" s="302">
        <v>98460</v>
      </c>
      <c r="AQ40" s="317">
        <f>ROUNDUP(4*P49/64+IF(D46="Standard",0.17,21.97),0)</f>
        <v>46</v>
      </c>
      <c r="AR40" s="317">
        <f>ROUNDUP(2*P49/64+5.5,0)</f>
        <v>29</v>
      </c>
      <c r="AS40" s="317">
        <v>0</v>
      </c>
    </row>
    <row r="41" spans="1:53" ht="67.5" hidden="1">
      <c r="A41" s="845" t="s">
        <v>218</v>
      </c>
      <c r="B41" s="834"/>
      <c r="C41" s="834"/>
      <c r="D41" s="834"/>
      <c r="E41" s="835"/>
      <c r="F41" s="275"/>
      <c r="G41" s="282" t="s">
        <v>396</v>
      </c>
      <c r="H41" s="283" t="s">
        <v>259</v>
      </c>
      <c r="I41" s="295" t="s">
        <v>693</v>
      </c>
      <c r="J41" s="301">
        <f>ROUNDUP(1000000*P47/P42,0)</f>
        <v>11438</v>
      </c>
      <c r="K41" s="302" t="s">
        <v>461</v>
      </c>
      <c r="L41" s="275"/>
      <c r="M41" s="288" t="s">
        <v>694</v>
      </c>
      <c r="N41" s="289" t="s">
        <v>695</v>
      </c>
      <c r="O41" s="286" t="s">
        <v>696</v>
      </c>
      <c r="P41" s="303">
        <f>VLOOKUP($C$38,$S$40:$AN$56,4,FALSE)</f>
        <v>32000</v>
      </c>
      <c r="Q41" s="316" t="s">
        <v>622</v>
      </c>
      <c r="R41" s="275"/>
      <c r="S41" s="315" t="s">
        <v>655</v>
      </c>
      <c r="T41" s="283" t="s">
        <v>697</v>
      </c>
      <c r="U41" s="283" t="s">
        <v>691</v>
      </c>
      <c r="V41" s="286">
        <v>32000</v>
      </c>
      <c r="W41" s="287">
        <v>2</v>
      </c>
      <c r="X41" s="287">
        <v>2</v>
      </c>
      <c r="Y41" s="287">
        <v>184</v>
      </c>
      <c r="Z41" s="287">
        <v>8</v>
      </c>
      <c r="AA41" s="287">
        <v>1</v>
      </c>
      <c r="AB41" s="287">
        <v>8</v>
      </c>
      <c r="AC41" s="287">
        <v>1296</v>
      </c>
      <c r="AD41" s="287">
        <v>4</v>
      </c>
      <c r="AE41" s="287">
        <f>IF(D73=2,1296,2592)</f>
        <v>2592</v>
      </c>
      <c r="AF41" s="287">
        <f>IF(D74=2,1024,2048)</f>
        <v>2048</v>
      </c>
      <c r="AG41" s="326">
        <f>IF(D73=2,384,732)</f>
        <v>732</v>
      </c>
      <c r="AH41" s="286">
        <v>17</v>
      </c>
      <c r="AI41" s="275">
        <v>13</v>
      </c>
      <c r="AJ41" s="275">
        <f>IF(D46="standard",7,4)</f>
        <v>7</v>
      </c>
      <c r="AK41" s="275">
        <v>9</v>
      </c>
      <c r="AL41" s="283">
        <f>IF(D46="Ultra short",99,40000)</f>
        <v>40000</v>
      </c>
      <c r="AM41" s="283">
        <v>22</v>
      </c>
      <c r="AN41" s="327" t="s">
        <v>692</v>
      </c>
      <c r="AO41" s="327">
        <v>2</v>
      </c>
      <c r="AP41" s="302">
        <v>128000</v>
      </c>
      <c r="AQ41" s="302">
        <f>ROUNDUP(4*P49/64+IF(D46="Standard",10.4,0),0)</f>
        <v>57</v>
      </c>
      <c r="AR41" s="302">
        <f>ROUNDUP(2*P49/64+6.8,0)</f>
        <v>30</v>
      </c>
      <c r="AS41" s="302">
        <v>7</v>
      </c>
    </row>
    <row r="42" spans="1:53" ht="409.5" hidden="1">
      <c r="A42" s="283" t="str">
        <f>VLOOKUP($C$38,$S$40:$AO$53,22,FALSE)</f>
        <v>像素格式(8/12)</v>
      </c>
      <c r="B42" s="283" t="s">
        <v>458</v>
      </c>
      <c r="C42" s="283">
        <v>8</v>
      </c>
      <c r="D42" s="284">
        <f>C12</f>
        <v>8</v>
      </c>
      <c r="E42" s="285" t="s">
        <v>594</v>
      </c>
      <c r="F42" s="275"/>
      <c r="G42" s="282" t="s">
        <v>406</v>
      </c>
      <c r="H42" s="283" t="s">
        <v>251</v>
      </c>
      <c r="I42" s="295" t="s">
        <v>698</v>
      </c>
      <c r="J42" s="304">
        <f>IF(D46="Ultra Short",IF(D51=1,MAX(J45,J46,J47,J48),MAX(J45,J46,J47,J48)),IF(D51=1,IF(D44="TriggerWidth",ROUNDUP(MAX(J45,J47,J48,J66)*J41/1000,0),ROUNDUP(MAX(J45,J46,J47,J48)*J41/1000,0)),ROUNDUP(MAX(J45,J46,J47,J48)*J41/1000,0)))</f>
        <v>117515</v>
      </c>
      <c r="K42" s="302" t="s">
        <v>478</v>
      </c>
      <c r="L42" s="275"/>
      <c r="M42" s="305" t="s">
        <v>699</v>
      </c>
      <c r="N42" s="286" t="s">
        <v>700</v>
      </c>
      <c r="O42" s="286" t="s">
        <v>696</v>
      </c>
      <c r="P42" s="306">
        <f>P41*2</f>
        <v>64000</v>
      </c>
      <c r="Q42" s="317" t="s">
        <v>622</v>
      </c>
      <c r="R42" s="275"/>
      <c r="S42" s="315"/>
      <c r="T42" s="287"/>
      <c r="U42" s="287"/>
      <c r="V42" s="318"/>
      <c r="W42" s="287"/>
      <c r="X42" s="287"/>
      <c r="Y42" s="287"/>
      <c r="Z42" s="287"/>
      <c r="AA42" s="287"/>
      <c r="AB42" s="287"/>
      <c r="AC42" s="287"/>
      <c r="AD42" s="287"/>
      <c r="AE42" s="287"/>
      <c r="AF42" s="287"/>
      <c r="AG42" s="326" t="s">
        <v>701</v>
      </c>
      <c r="AH42" s="287"/>
      <c r="AI42" s="287"/>
      <c r="AJ42" s="287"/>
      <c r="AK42" s="287"/>
      <c r="AL42" s="287"/>
      <c r="AM42" s="287"/>
      <c r="AN42" s="328"/>
      <c r="AO42" s="328"/>
      <c r="AP42" s="285"/>
      <c r="AQ42" s="285"/>
      <c r="AR42" s="285"/>
      <c r="AS42" s="285"/>
    </row>
    <row r="43" spans="1:53" ht="81" hidden="1">
      <c r="A43" s="845" t="s">
        <v>214</v>
      </c>
      <c r="B43" s="834"/>
      <c r="C43" s="834"/>
      <c r="D43" s="834"/>
      <c r="E43" s="835"/>
      <c r="F43" s="275"/>
      <c r="G43" s="282" t="s">
        <v>486</v>
      </c>
      <c r="H43" s="283" t="s">
        <v>252</v>
      </c>
      <c r="I43" s="295" t="s">
        <v>487</v>
      </c>
      <c r="J43" s="304">
        <f>1000000/J42</f>
        <v>8.5095519720886692</v>
      </c>
      <c r="K43" s="302" t="s">
        <v>488</v>
      </c>
      <c r="L43" s="275"/>
      <c r="M43" s="305" t="s">
        <v>702</v>
      </c>
      <c r="N43" s="286" t="s">
        <v>703</v>
      </c>
      <c r="O43" s="286" t="s">
        <v>696</v>
      </c>
      <c r="P43" s="306">
        <f>VLOOKUP($C$38,$S$40:$AN$56,7,FALSE)</f>
        <v>32</v>
      </c>
      <c r="Q43" s="317" t="s">
        <v>704</v>
      </c>
      <c r="R43" s="275"/>
      <c r="S43" s="315"/>
      <c r="T43" s="287"/>
      <c r="U43" s="287"/>
      <c r="V43" s="318"/>
      <c r="W43" s="287"/>
      <c r="X43" s="287"/>
      <c r="Y43" s="287"/>
      <c r="Z43" s="287"/>
      <c r="AA43" s="287"/>
      <c r="AB43" s="287"/>
      <c r="AC43" s="287"/>
      <c r="AD43" s="287"/>
      <c r="AE43" s="287"/>
      <c r="AF43" s="287"/>
      <c r="AG43" s="326"/>
      <c r="AH43" s="287"/>
      <c r="AI43" s="287"/>
      <c r="AJ43" s="287"/>
      <c r="AK43" s="287"/>
      <c r="AL43" s="287"/>
      <c r="AM43" s="287"/>
      <c r="AN43" s="328"/>
      <c r="AO43" s="328"/>
      <c r="AP43" s="285"/>
      <c r="AQ43" s="285"/>
      <c r="AR43" s="285"/>
      <c r="AS43" s="285"/>
    </row>
    <row r="44" spans="1:53" ht="67.5" hidden="1">
      <c r="A44" s="286" t="s">
        <v>705</v>
      </c>
      <c r="B44" s="283" t="s">
        <v>706</v>
      </c>
      <c r="C44" s="283" t="s">
        <v>707</v>
      </c>
      <c r="D44" s="284" t="s">
        <v>707</v>
      </c>
      <c r="E44" s="285" t="s">
        <v>594</v>
      </c>
      <c r="F44" s="275"/>
      <c r="G44" s="833" t="s">
        <v>510</v>
      </c>
      <c r="H44" s="834"/>
      <c r="I44" s="834"/>
      <c r="J44" s="834"/>
      <c r="K44" s="835"/>
      <c r="L44" s="275"/>
      <c r="M44" s="305" t="s">
        <v>708</v>
      </c>
      <c r="N44" s="286" t="s">
        <v>709</v>
      </c>
      <c r="O44" s="286" t="s">
        <v>696</v>
      </c>
      <c r="P44" s="306">
        <f>VLOOKUP($C$38,$S$40:$AN$56,8,FALSE)</f>
        <v>8</v>
      </c>
      <c r="Q44" s="317" t="s">
        <v>704</v>
      </c>
      <c r="R44" s="275"/>
      <c r="S44" s="319"/>
      <c r="T44" s="320"/>
      <c r="U44" s="320"/>
      <c r="V44" s="321"/>
      <c r="W44" s="320"/>
      <c r="X44" s="320"/>
      <c r="Y44" s="320"/>
      <c r="Z44" s="320"/>
      <c r="AA44" s="320"/>
      <c r="AB44" s="320"/>
      <c r="AC44" s="320"/>
      <c r="AD44" s="320"/>
      <c r="AE44" s="320"/>
      <c r="AF44" s="320"/>
      <c r="AG44" s="329"/>
      <c r="AH44" s="320"/>
      <c r="AI44" s="320"/>
      <c r="AJ44" s="310"/>
      <c r="AK44" s="320"/>
      <c r="AL44" s="320"/>
      <c r="AM44" s="320"/>
      <c r="AN44" s="330"/>
      <c r="AO44" s="330"/>
      <c r="AP44" s="332"/>
      <c r="AQ44" s="332"/>
      <c r="AR44" s="332"/>
      <c r="AS44" s="332"/>
    </row>
    <row r="45" spans="1:53" ht="391.5" hidden="1">
      <c r="A45" s="286" t="str">
        <f>"交叠曝光时间
(0-"&amp;INT((J45-P51)*J41/1000)&amp;")"</f>
        <v>交叠曝光时间
(0-35229)</v>
      </c>
      <c r="B45" s="283" t="s">
        <v>710</v>
      </c>
      <c r="C45" s="283">
        <f>INT((VLOOKUP($C$38,$S$39:$AR$53,14,FALSE)+VLOOKUP($C$38,$S$39:$AR$53,18,FALSE)+VLOOKUP($C$38,$S$39:$AR$53,16,FALSE)+VLOOKUP($C$38,$S$39:$AR$53,9,FALSE)-P51)*ROUNDUP(1000000*VLOOKUP($C$38,$S$39:$AR$53,15,FALSE)/P42,0)/1000)</f>
        <v>35229</v>
      </c>
      <c r="D45" s="284">
        <v>23378</v>
      </c>
      <c r="E45" s="287" t="s">
        <v>478</v>
      </c>
      <c r="F45" s="275"/>
      <c r="G45" s="282" t="s">
        <v>516</v>
      </c>
      <c r="H45" s="283" t="s">
        <v>517</v>
      </c>
      <c r="I45" s="283" t="s">
        <v>711</v>
      </c>
      <c r="J45" s="306">
        <f>IF(D46="Ultra short",ROUNDUP((D59*D72+P50+P45)*J41/1000,0),(D59*D72+P50+P45+P52))</f>
        <v>3094</v>
      </c>
      <c r="K45" s="307" t="str">
        <f>IF(D46="Ultra Short","us","line")</f>
        <v>line</v>
      </c>
      <c r="L45" s="275"/>
      <c r="M45" s="305" t="s">
        <v>712</v>
      </c>
      <c r="N45" s="286" t="s">
        <v>713</v>
      </c>
      <c r="O45" s="286" t="s">
        <v>696</v>
      </c>
      <c r="P45" s="306">
        <f>VLOOKUP($C$38,$S$40:$AN$56,9,FALSE)</f>
        <v>1</v>
      </c>
      <c r="Q45" s="317"/>
      <c r="R45" s="275"/>
      <c r="S45" s="274"/>
      <c r="T45" s="274"/>
      <c r="U45" s="274"/>
      <c r="V45" s="274"/>
      <c r="W45" s="274"/>
      <c r="X45" s="274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</row>
    <row r="46" spans="1:53" ht="324" hidden="1">
      <c r="A46" s="283" t="s">
        <v>714</v>
      </c>
      <c r="B46" s="283" t="s">
        <v>715</v>
      </c>
      <c r="C46" s="283" t="s">
        <v>716</v>
      </c>
      <c r="D46" s="284" t="s">
        <v>716</v>
      </c>
      <c r="E46" s="285" t="s">
        <v>594</v>
      </c>
      <c r="F46" s="275"/>
      <c r="G46" s="288" t="s">
        <v>522</v>
      </c>
      <c r="H46" s="289" t="s">
        <v>523</v>
      </c>
      <c r="I46" s="289" t="s">
        <v>717</v>
      </c>
      <c r="J46" s="303">
        <f>IF(D46="Ultra Short",J51+J52+J55+(P51+P52+P53)*J41/1000+P60,J51+J52+P51+ROUNDUP((P60)*1000/J41,0))</f>
        <v>5263</v>
      </c>
      <c r="K46" s="307" t="str">
        <f>IF(D46="Ultra Short","us","line")</f>
        <v>line</v>
      </c>
      <c r="L46" s="275"/>
      <c r="M46" s="305" t="s">
        <v>718</v>
      </c>
      <c r="N46" s="286" t="s">
        <v>719</v>
      </c>
      <c r="O46" s="286" t="s">
        <v>696</v>
      </c>
      <c r="P46" s="306">
        <f>VLOOKUP($C$38,$S$40:$AN$56,10,FALSE)</f>
        <v>8</v>
      </c>
      <c r="Q46" s="317"/>
      <c r="R46" s="275"/>
      <c r="S46" s="274"/>
      <c r="T46" s="274"/>
      <c r="U46" s="274"/>
      <c r="V46" s="274"/>
      <c r="W46" s="274"/>
      <c r="X46" s="274"/>
      <c r="Y46" s="275"/>
      <c r="Z46" s="275"/>
      <c r="AA46" s="275"/>
      <c r="AB46" s="275"/>
      <c r="AC46" s="275"/>
      <c r="AD46" s="275"/>
      <c r="AE46" s="275"/>
      <c r="AF46" s="275"/>
      <c r="AG46" s="275"/>
      <c r="AH46" s="275"/>
      <c r="AI46" s="275"/>
      <c r="AJ46" s="275"/>
      <c r="AK46" s="275"/>
      <c r="AL46" s="275"/>
      <c r="AM46" s="275"/>
      <c r="AN46" s="275"/>
      <c r="AO46" s="275"/>
      <c r="AP46" s="275"/>
      <c r="AQ46" s="275"/>
      <c r="AR46" s="275"/>
      <c r="AS46" s="275"/>
    </row>
    <row r="47" spans="1:53" ht="310.5" hidden="1">
      <c r="A47" s="283" t="s">
        <v>214</v>
      </c>
      <c r="B47" s="283" t="s">
        <v>475</v>
      </c>
      <c r="C47" s="283">
        <f>VLOOKUP($C$38,$S$40:$AN$56,20,FALSE)</f>
        <v>60000</v>
      </c>
      <c r="D47" s="284">
        <f>C10</f>
        <v>60000</v>
      </c>
      <c r="E47" s="285" t="s">
        <v>478</v>
      </c>
      <c r="F47" s="275"/>
      <c r="G47" s="282" t="s">
        <v>534</v>
      </c>
      <c r="H47" s="283" t="s">
        <v>535</v>
      </c>
      <c r="I47" s="283" t="s">
        <v>720</v>
      </c>
      <c r="J47" s="304">
        <f>IF(D46="Ultra Short",ROUNDUP((1000000/D69)*D68,0),ROUNDUP(((1000000000/D69)/J41)*D68,0))</f>
        <v>0</v>
      </c>
      <c r="K47" s="307" t="str">
        <f>IF(D46="Ultra Short","us","line")</f>
        <v>line</v>
      </c>
      <c r="L47" s="275"/>
      <c r="M47" s="288" t="s">
        <v>260</v>
      </c>
      <c r="N47" s="289" t="s">
        <v>721</v>
      </c>
      <c r="O47" s="289" t="s">
        <v>696</v>
      </c>
      <c r="P47" s="303">
        <f>IF(D42=8,VLOOKUP($C$38,$S$40:$AN$56,15,FALSE),2*VLOOKUP($C$38,$S$40:$AN$56,15,FALSE))</f>
        <v>732</v>
      </c>
      <c r="Q47" s="316" t="s">
        <v>722</v>
      </c>
      <c r="R47" s="275"/>
      <c r="S47" s="274"/>
      <c r="T47" s="274"/>
      <c r="U47" s="274"/>
      <c r="V47" s="274"/>
      <c r="W47" s="274"/>
      <c r="X47" s="274"/>
      <c r="Y47" s="275"/>
      <c r="Z47" s="275"/>
      <c r="AA47" s="275"/>
      <c r="AB47" s="275"/>
      <c r="AC47" s="275"/>
      <c r="AD47" s="275"/>
      <c r="AE47" s="275"/>
      <c r="AF47" s="275"/>
      <c r="AG47" s="275"/>
      <c r="AH47" s="275"/>
      <c r="AI47" s="275"/>
      <c r="AJ47" s="275"/>
      <c r="AK47" s="275"/>
      <c r="AL47" s="275"/>
      <c r="AM47" s="275"/>
      <c r="AN47" s="275"/>
      <c r="AO47" s="275"/>
      <c r="AP47" s="275"/>
      <c r="AQ47" s="275"/>
      <c r="AR47" s="275"/>
      <c r="AS47" s="275"/>
    </row>
    <row r="48" spans="1:53" ht="148.5" hidden="1">
      <c r="A48" s="283" t="s">
        <v>216</v>
      </c>
      <c r="B48" s="283" t="s">
        <v>484</v>
      </c>
      <c r="C48" s="283">
        <v>0</v>
      </c>
      <c r="D48" s="284">
        <f>C11</f>
        <v>0</v>
      </c>
      <c r="E48" s="285" t="s">
        <v>478</v>
      </c>
      <c r="F48" s="275"/>
      <c r="G48" s="282" t="s">
        <v>540</v>
      </c>
      <c r="H48" s="283" t="s">
        <v>417</v>
      </c>
      <c r="I48" s="283" t="s">
        <v>723</v>
      </c>
      <c r="J48" s="304">
        <f>IF(D51=0,P93,IF(D52="Standard",P95,0))</f>
        <v>10274</v>
      </c>
      <c r="K48" s="307" t="str">
        <f>IF(D46="Ultra Short","us","line")</f>
        <v>line</v>
      </c>
      <c r="L48" s="275"/>
      <c r="M48" s="288" t="s">
        <v>724</v>
      </c>
      <c r="N48" s="289" t="s">
        <v>725</v>
      </c>
      <c r="O48" s="289" t="s">
        <v>726</v>
      </c>
      <c r="P48" s="303">
        <f>IF(D42=8,ROUNDUP((P47/P42*32*1000),0),ROUNDUP((P47/P42*32*1000),0))</f>
        <v>366</v>
      </c>
      <c r="Q48" s="316" t="s">
        <v>722</v>
      </c>
      <c r="R48" s="275"/>
      <c r="S48" s="274"/>
      <c r="T48" s="274"/>
      <c r="U48" s="274"/>
      <c r="V48" s="274"/>
      <c r="W48" s="274"/>
      <c r="X48" s="274"/>
      <c r="Y48" s="275"/>
      <c r="Z48" s="275"/>
      <c r="AA48" s="275"/>
      <c r="AB48" s="275"/>
      <c r="AC48" s="275"/>
      <c r="AD48" s="275"/>
      <c r="AE48" s="275"/>
      <c r="AF48" s="275"/>
      <c r="AG48" s="275"/>
      <c r="AH48" s="275"/>
      <c r="AI48" s="275"/>
      <c r="AJ48" s="275"/>
      <c r="AK48" s="275"/>
      <c r="AL48" s="275"/>
      <c r="AM48" s="275"/>
      <c r="AN48" s="275"/>
      <c r="AO48" s="275"/>
      <c r="AP48" s="275"/>
      <c r="AQ48" s="275"/>
      <c r="AR48" s="275"/>
      <c r="AS48" s="275"/>
    </row>
    <row r="49" spans="1:45" ht="94.5" hidden="1">
      <c r="A49" s="286" t="s">
        <v>727</v>
      </c>
      <c r="B49" s="283" t="s">
        <v>728</v>
      </c>
      <c r="C49" s="283" t="s">
        <v>594</v>
      </c>
      <c r="D49" s="284">
        <v>1000</v>
      </c>
      <c r="E49" s="287" t="s">
        <v>478</v>
      </c>
      <c r="F49" s="275"/>
      <c r="G49" s="833" t="s">
        <v>729</v>
      </c>
      <c r="H49" s="834"/>
      <c r="I49" s="834"/>
      <c r="J49" s="834"/>
      <c r="K49" s="835"/>
      <c r="L49" s="275"/>
      <c r="M49" s="308" t="s">
        <v>730</v>
      </c>
      <c r="N49" s="309" t="s">
        <v>731</v>
      </c>
      <c r="O49" s="309" t="s">
        <v>696</v>
      </c>
      <c r="P49" s="309">
        <f>VLOOKUP($C$38,$S$40:$AN$56,15,FALSE)</f>
        <v>732</v>
      </c>
      <c r="Q49" s="322" t="s">
        <v>722</v>
      </c>
      <c r="R49" s="275"/>
      <c r="S49" s="274"/>
      <c r="T49" s="274"/>
      <c r="U49" s="274"/>
      <c r="V49" s="274"/>
      <c r="W49" s="274"/>
      <c r="X49" s="274"/>
      <c r="Y49" s="275"/>
      <c r="Z49" s="275"/>
      <c r="AA49" s="275"/>
      <c r="AB49" s="275"/>
      <c r="AC49" s="275"/>
      <c r="AD49" s="275"/>
      <c r="AE49" s="275"/>
      <c r="AF49" s="275"/>
      <c r="AG49" s="275"/>
      <c r="AH49" s="275"/>
      <c r="AI49" s="275"/>
      <c r="AJ49" s="275"/>
      <c r="AK49" s="275"/>
      <c r="AL49" s="275"/>
      <c r="AM49" s="275"/>
      <c r="AN49" s="275"/>
      <c r="AO49" s="275"/>
      <c r="AP49" s="275"/>
      <c r="AQ49" s="275"/>
      <c r="AR49" s="275"/>
      <c r="AS49" s="275"/>
    </row>
    <row r="50" spans="1:45" ht="175.5" hidden="1">
      <c r="A50" s="845" t="s">
        <v>280</v>
      </c>
      <c r="B50" s="834"/>
      <c r="C50" s="834"/>
      <c r="D50" s="834"/>
      <c r="E50" s="835"/>
      <c r="F50" s="275"/>
      <c r="G50" s="282" t="s">
        <v>732</v>
      </c>
      <c r="H50" s="283" t="s">
        <v>733</v>
      </c>
      <c r="I50" s="286" t="s">
        <v>1122</v>
      </c>
      <c r="J50" s="306" t="str">
        <f>IF(D46="Ultra short",ROUNDUP(D47*P42/1000,0),"-")</f>
        <v>-</v>
      </c>
      <c r="K50" s="307" t="s">
        <v>735</v>
      </c>
      <c r="L50" s="275"/>
      <c r="M50" s="288" t="s">
        <v>629</v>
      </c>
      <c r="N50" s="289" t="s">
        <v>736</v>
      </c>
      <c r="O50" s="289" t="s">
        <v>696</v>
      </c>
      <c r="P50" s="303">
        <f>VLOOKUP($C$38,$S$40:$AR$56,16,FALSE)</f>
        <v>14</v>
      </c>
      <c r="Q50" s="316" t="s">
        <v>469</v>
      </c>
      <c r="R50" s="275"/>
      <c r="S50" s="275"/>
      <c r="T50" s="275"/>
      <c r="U50" s="275"/>
      <c r="V50" s="275"/>
      <c r="W50" s="275"/>
      <c r="X50" s="275"/>
      <c r="Y50" s="275"/>
      <c r="Z50" s="275"/>
      <c r="AA50" s="275"/>
      <c r="AB50" s="275"/>
      <c r="AC50" s="275"/>
      <c r="AD50" s="275"/>
      <c r="AE50" s="275"/>
      <c r="AF50" s="275"/>
      <c r="AG50" s="275"/>
      <c r="AH50" s="275"/>
      <c r="AI50" s="275"/>
      <c r="AJ50" s="275"/>
      <c r="AK50" s="275"/>
      <c r="AL50" s="275"/>
      <c r="AM50" s="275"/>
      <c r="AN50" s="275"/>
      <c r="AO50" s="275"/>
      <c r="AP50" s="275"/>
      <c r="AQ50" s="275"/>
      <c r="AR50" s="275"/>
      <c r="AS50" s="275"/>
    </row>
    <row r="51" spans="1:45" ht="409.5" hidden="1">
      <c r="A51" s="282" t="s">
        <v>280</v>
      </c>
      <c r="B51" s="283" t="s">
        <v>428</v>
      </c>
      <c r="C51" s="283">
        <v>0</v>
      </c>
      <c r="D51" s="284">
        <f>C21</f>
        <v>0</v>
      </c>
      <c r="E51" s="290" t="s">
        <v>594</v>
      </c>
      <c r="F51" s="275"/>
      <c r="G51" s="282" t="s">
        <v>397</v>
      </c>
      <c r="H51" s="283" t="s">
        <v>737</v>
      </c>
      <c r="I51" s="286" t="s">
        <v>738</v>
      </c>
      <c r="J51" s="306">
        <f>IF(D46="Ultra Short",D47+P62,ROUNDUP((D47-P61)*1000/J41,0))</f>
        <v>5244</v>
      </c>
      <c r="K51" s="307" t="str">
        <f>IF(D46="Ultra Short","us","line")</f>
        <v>line</v>
      </c>
      <c r="L51" s="275"/>
      <c r="M51" s="288" t="s">
        <v>739</v>
      </c>
      <c r="N51" s="289" t="s">
        <v>740</v>
      </c>
      <c r="O51" s="289" t="s">
        <v>696</v>
      </c>
      <c r="P51" s="303">
        <f>VLOOKUP($C$38,$S$40:$AR$56,17,FALSE)</f>
        <v>14</v>
      </c>
      <c r="Q51" s="316" t="s">
        <v>469</v>
      </c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</row>
    <row r="52" spans="1:45" ht="67.5" hidden="1">
      <c r="A52" s="291" t="s">
        <v>741</v>
      </c>
      <c r="B52" s="283" t="s">
        <v>742</v>
      </c>
      <c r="C52" s="283" t="s">
        <v>716</v>
      </c>
      <c r="D52" s="284" t="s">
        <v>716</v>
      </c>
      <c r="E52" s="285" t="s">
        <v>594</v>
      </c>
      <c r="F52" s="275"/>
      <c r="G52" s="282" t="s">
        <v>398</v>
      </c>
      <c r="H52" s="283" t="s">
        <v>743</v>
      </c>
      <c r="I52" s="283" t="s">
        <v>744</v>
      </c>
      <c r="J52" s="304">
        <f>IF(D46="Ultra short",D48,ROUNDUP(((1000*D48)/J41),0))</f>
        <v>0</v>
      </c>
      <c r="K52" s="307" t="str">
        <f>IF(D46="Ultra Short","us","line")</f>
        <v>line</v>
      </c>
      <c r="L52" s="275"/>
      <c r="M52" s="305" t="s">
        <v>745</v>
      </c>
      <c r="N52" s="286" t="s">
        <v>746</v>
      </c>
      <c r="O52" s="286" t="s">
        <v>696</v>
      </c>
      <c r="P52" s="306">
        <f>VLOOKUP($C$38,$S$40:$AR$56,18,FALSE)</f>
        <v>7</v>
      </c>
      <c r="Q52" s="317" t="s">
        <v>469</v>
      </c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5"/>
      <c r="AH52" s="275"/>
      <c r="AI52" s="275"/>
      <c r="AJ52" s="275"/>
      <c r="AK52" s="275"/>
      <c r="AL52" s="275"/>
      <c r="AM52" s="275"/>
      <c r="AN52" s="275"/>
      <c r="AO52" s="275"/>
      <c r="AP52" s="275"/>
      <c r="AQ52" s="275"/>
      <c r="AR52" s="275"/>
      <c r="AS52" s="275"/>
    </row>
    <row r="53" spans="1:45" ht="54" hidden="1">
      <c r="A53" s="845" t="s">
        <v>747</v>
      </c>
      <c r="B53" s="834"/>
      <c r="C53" s="834"/>
      <c r="D53" s="834"/>
      <c r="E53" s="835"/>
      <c r="F53" s="275"/>
      <c r="G53" s="282" t="s">
        <v>553</v>
      </c>
      <c r="H53" s="283" t="s">
        <v>554</v>
      </c>
      <c r="I53" s="283">
        <v>0</v>
      </c>
      <c r="J53" s="304">
        <v>0</v>
      </c>
      <c r="K53" s="302" t="s">
        <v>478</v>
      </c>
      <c r="L53" s="275"/>
      <c r="M53" s="305" t="s">
        <v>748</v>
      </c>
      <c r="N53" s="286" t="s">
        <v>749</v>
      </c>
      <c r="O53" s="286" t="s">
        <v>696</v>
      </c>
      <c r="P53" s="306">
        <f>VLOOKUP($C$38,$S$40:$AR$56,19,FALSE)</f>
        <v>9</v>
      </c>
      <c r="Q53" s="317" t="s">
        <v>469</v>
      </c>
      <c r="R53" s="275"/>
      <c r="S53" s="275"/>
      <c r="T53" s="275"/>
      <c r="U53" s="275"/>
      <c r="V53" s="275"/>
      <c r="W53" s="275"/>
      <c r="X53" s="275"/>
      <c r="Y53" s="275"/>
      <c r="Z53" s="275"/>
      <c r="AA53" s="275"/>
      <c r="AB53" s="275"/>
      <c r="AC53" s="275"/>
      <c r="AD53" s="275"/>
      <c r="AE53" s="275"/>
      <c r="AF53" s="275"/>
      <c r="AG53" s="275"/>
      <c r="AH53" s="275"/>
      <c r="AI53" s="275"/>
      <c r="AJ53" s="275"/>
      <c r="AK53" s="275"/>
      <c r="AL53" s="275"/>
      <c r="AM53" s="275"/>
      <c r="AN53" s="275"/>
      <c r="AO53" s="275"/>
      <c r="AP53" s="275"/>
      <c r="AQ53" s="275"/>
      <c r="AR53" s="275"/>
      <c r="AS53" s="275"/>
    </row>
    <row r="54" spans="1:45" ht="409.5" hidden="1">
      <c r="A54" s="283" t="s">
        <v>503</v>
      </c>
      <c r="B54" s="283" t="s">
        <v>508</v>
      </c>
      <c r="C54" s="283">
        <v>0</v>
      </c>
      <c r="D54" s="284">
        <v>0</v>
      </c>
      <c r="E54" s="285" t="s">
        <v>478</v>
      </c>
      <c r="F54" s="275"/>
      <c r="G54" s="288" t="s">
        <v>560</v>
      </c>
      <c r="H54" s="289" t="s">
        <v>750</v>
      </c>
      <c r="I54" s="289" t="s">
        <v>1123</v>
      </c>
      <c r="J54" s="303">
        <f>IF(D46="Ultra short",200,IF((D47+P60-P61+4*J41/1000)&gt;100,(D47+P60-P61+4*J41/1000),100))</f>
        <v>60062.752</v>
      </c>
      <c r="K54" s="302" t="s">
        <v>478</v>
      </c>
      <c r="L54" s="275"/>
      <c r="M54" s="282" t="s">
        <v>382</v>
      </c>
      <c r="N54" s="283" t="s">
        <v>752</v>
      </c>
      <c r="O54" s="289" t="s">
        <v>696</v>
      </c>
      <c r="P54" s="303">
        <f>VLOOKUP($C$38,$S$40:$AN$56,5,FALSE)</f>
        <v>2</v>
      </c>
      <c r="Q54" s="302"/>
      <c r="R54" s="275"/>
      <c r="S54" s="275"/>
      <c r="T54" s="275"/>
      <c r="U54" s="275"/>
      <c r="V54" s="275"/>
      <c r="W54" s="275"/>
      <c r="X54" s="275"/>
      <c r="Y54" s="275"/>
      <c r="Z54" s="275"/>
      <c r="AA54" s="275"/>
      <c r="AB54" s="275"/>
      <c r="AC54" s="275"/>
      <c r="AD54" s="275"/>
      <c r="AE54" s="275"/>
      <c r="AF54" s="275"/>
      <c r="AG54" s="275"/>
      <c r="AH54" s="275"/>
      <c r="AI54" s="275"/>
      <c r="AJ54" s="275"/>
      <c r="AK54" s="275"/>
      <c r="AL54" s="275"/>
      <c r="AM54" s="275"/>
      <c r="AN54" s="275"/>
      <c r="AO54" s="275"/>
      <c r="AP54" s="275"/>
      <c r="AQ54" s="275"/>
      <c r="AR54" s="275"/>
      <c r="AS54" s="275"/>
    </row>
    <row r="55" spans="1:45" ht="364.5" hidden="1">
      <c r="A55" s="845" t="s">
        <v>753</v>
      </c>
      <c r="B55" s="834"/>
      <c r="C55" s="834"/>
      <c r="D55" s="834"/>
      <c r="E55" s="835"/>
      <c r="F55" s="275"/>
      <c r="G55" s="282" t="s">
        <v>399</v>
      </c>
      <c r="H55" s="283" t="s">
        <v>754</v>
      </c>
      <c r="I55" s="283" t="s">
        <v>755</v>
      </c>
      <c r="J55" s="304">
        <f>IF(D46="Ultra short",ROUNDUP((D59*D72+P45)*J41/1000,0),D59*D72+P45+P52)</f>
        <v>3080</v>
      </c>
      <c r="K55" s="307" t="str">
        <f>IF(D46="Ultra Short","us","line")</f>
        <v>line</v>
      </c>
      <c r="L55" s="275"/>
      <c r="M55" s="282" t="s">
        <v>383</v>
      </c>
      <c r="N55" s="283" t="s">
        <v>756</v>
      </c>
      <c r="O55" s="289" t="s">
        <v>696</v>
      </c>
      <c r="P55" s="303">
        <f>VLOOKUP($C$38,$S$40:$AN$56,6,FALSE)</f>
        <v>3</v>
      </c>
      <c r="Q55" s="302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275"/>
      <c r="AH55" s="275"/>
      <c r="AI55" s="275"/>
      <c r="AJ55" s="275"/>
      <c r="AK55" s="275"/>
      <c r="AL55" s="275"/>
      <c r="AM55" s="275"/>
      <c r="AN55" s="275"/>
      <c r="AO55" s="275"/>
      <c r="AP55" s="275"/>
      <c r="AQ55" s="275"/>
      <c r="AR55" s="275"/>
      <c r="AS55" s="275"/>
    </row>
    <row r="56" spans="1:45" ht="54" hidden="1">
      <c r="A56" s="283" t="s">
        <v>757</v>
      </c>
      <c r="B56" s="283" t="s">
        <v>758</v>
      </c>
      <c r="C56" s="283">
        <v>0</v>
      </c>
      <c r="D56" s="284">
        <v>0</v>
      </c>
      <c r="E56" s="285" t="s">
        <v>704</v>
      </c>
      <c r="F56" s="275"/>
      <c r="G56" s="833" t="s">
        <v>366</v>
      </c>
      <c r="H56" s="834"/>
      <c r="I56" s="834"/>
      <c r="J56" s="834"/>
      <c r="K56" s="835"/>
      <c r="L56" s="275"/>
      <c r="M56" s="282" t="s">
        <v>384</v>
      </c>
      <c r="N56" s="283" t="s">
        <v>759</v>
      </c>
      <c r="O56" s="289" t="s">
        <v>696</v>
      </c>
      <c r="P56" s="303">
        <f>VLOOKUP($C$38,$S$40:$AN$56,13,FALSE)</f>
        <v>4096</v>
      </c>
      <c r="Q56" s="302" t="s">
        <v>704</v>
      </c>
      <c r="R56" s="275"/>
      <c r="S56" s="323"/>
      <c r="T56" s="275"/>
      <c r="U56" s="275"/>
      <c r="V56" s="275"/>
      <c r="W56" s="275"/>
      <c r="X56" s="275"/>
      <c r="Y56" s="275"/>
      <c r="Z56" s="275"/>
      <c r="AA56" s="275"/>
      <c r="AB56" s="275"/>
      <c r="AC56" s="275"/>
      <c r="AD56" s="275"/>
      <c r="AE56" s="275"/>
      <c r="AF56" s="275"/>
      <c r="AG56" s="275"/>
      <c r="AH56" s="275"/>
      <c r="AI56" s="275"/>
      <c r="AJ56" s="275"/>
      <c r="AK56" s="275"/>
      <c r="AL56" s="275"/>
      <c r="AM56" s="275"/>
      <c r="AN56" s="275"/>
      <c r="AO56" s="275"/>
      <c r="AP56" s="275"/>
      <c r="AQ56" s="275"/>
      <c r="AR56" s="275"/>
      <c r="AS56" s="275"/>
    </row>
    <row r="57" spans="1:45" ht="67.5" hidden="1">
      <c r="A57" s="283" t="s">
        <v>760</v>
      </c>
      <c r="B57" s="283" t="s">
        <v>761</v>
      </c>
      <c r="C57" s="283">
        <v>0</v>
      </c>
      <c r="D57" s="284">
        <v>0</v>
      </c>
      <c r="E57" s="285" t="s">
        <v>704</v>
      </c>
      <c r="F57" s="275"/>
      <c r="G57" s="282" t="s">
        <v>400</v>
      </c>
      <c r="H57" s="283" t="s">
        <v>762</v>
      </c>
      <c r="I57" s="283" t="s">
        <v>763</v>
      </c>
      <c r="J57" s="304">
        <f>J43*P81</f>
        <v>107074943.62421818</v>
      </c>
      <c r="K57" s="302" t="s">
        <v>764</v>
      </c>
      <c r="L57" s="275"/>
      <c r="M57" s="282" t="s">
        <v>765</v>
      </c>
      <c r="N57" s="283" t="s">
        <v>766</v>
      </c>
      <c r="O57" s="289" t="s">
        <v>696</v>
      </c>
      <c r="P57" s="303">
        <f>VLOOKUP($C$38,$S$40:$AN$56,14,FALSE)</f>
        <v>3072</v>
      </c>
      <c r="Q57" s="302" t="s">
        <v>469</v>
      </c>
      <c r="R57" s="275"/>
      <c r="S57" s="323"/>
      <c r="T57" s="275"/>
      <c r="U57" s="275"/>
      <c r="V57" s="275"/>
      <c r="W57" s="275"/>
      <c r="X57" s="275"/>
      <c r="Y57" s="275"/>
      <c r="Z57" s="275"/>
      <c r="AA57" s="275"/>
      <c r="AB57" s="275"/>
      <c r="AC57" s="275"/>
      <c r="AD57" s="275"/>
      <c r="AE57" s="275"/>
      <c r="AF57" s="275"/>
      <c r="AG57" s="275"/>
      <c r="AH57" s="275"/>
      <c r="AI57" s="275"/>
      <c r="AJ57" s="275"/>
      <c r="AK57" s="275"/>
      <c r="AL57" s="275"/>
      <c r="AM57" s="275"/>
      <c r="AN57" s="275"/>
      <c r="AO57" s="275"/>
      <c r="AP57" s="275"/>
      <c r="AQ57" s="275"/>
      <c r="AR57" s="275"/>
      <c r="AS57" s="275"/>
    </row>
    <row r="58" spans="1:45" ht="54" hidden="1">
      <c r="A58" s="283" t="s">
        <v>202</v>
      </c>
      <c r="B58" s="283" t="s">
        <v>203</v>
      </c>
      <c r="C58" s="283">
        <f>VLOOKUP($C$38,$S$40:$AN$56,13,FALSE)</f>
        <v>4096</v>
      </c>
      <c r="D58" s="284">
        <f>C4</f>
        <v>4096</v>
      </c>
      <c r="E58" s="285" t="s">
        <v>704</v>
      </c>
      <c r="F58" s="275"/>
      <c r="G58" s="292" t="s">
        <v>401</v>
      </c>
      <c r="H58" s="293" t="s">
        <v>767</v>
      </c>
      <c r="I58" s="283" t="s">
        <v>768</v>
      </c>
      <c r="J58" s="304">
        <f>J43*P89</f>
        <v>111609598.77462451</v>
      </c>
      <c r="K58" s="302" t="s">
        <v>764</v>
      </c>
      <c r="L58" s="275"/>
      <c r="M58" s="282" t="s">
        <v>769</v>
      </c>
      <c r="N58" s="283" t="s">
        <v>770</v>
      </c>
      <c r="O58" s="289" t="s">
        <v>696</v>
      </c>
      <c r="P58" s="303">
        <f>VLOOKUP($C$38,$S$40:$AR$56,23,FALSE)</f>
        <v>4</v>
      </c>
      <c r="Q58" s="302"/>
      <c r="R58" s="275"/>
      <c r="S58" s="855" t="s">
        <v>771</v>
      </c>
      <c r="T58" s="856"/>
      <c r="U58" s="856"/>
      <c r="V58" s="856"/>
      <c r="W58" s="856"/>
      <c r="X58" s="857"/>
      <c r="Y58" s="275"/>
      <c r="Z58" s="275"/>
      <c r="AA58" s="275"/>
      <c r="AB58" s="275"/>
      <c r="AC58" s="275"/>
      <c r="AD58" s="275"/>
      <c r="AE58" s="275"/>
      <c r="AF58" s="275"/>
      <c r="AG58" s="275"/>
      <c r="AH58" s="275"/>
      <c r="AI58" s="275"/>
      <c r="AJ58" s="275"/>
      <c r="AK58" s="275"/>
      <c r="AL58" s="275"/>
      <c r="AM58" s="275"/>
      <c r="AN58" s="275"/>
      <c r="AO58" s="275"/>
      <c r="AP58" s="275"/>
      <c r="AQ58" s="275"/>
      <c r="AR58" s="275"/>
      <c r="AS58" s="275"/>
    </row>
    <row r="59" spans="1:45" ht="81" hidden="1">
      <c r="A59" s="283" t="s">
        <v>204</v>
      </c>
      <c r="B59" s="283" t="s">
        <v>205</v>
      </c>
      <c r="C59" s="283">
        <f>VLOOKUP($C$38,$S$40:$AN$56,14,FALSE)</f>
        <v>3072</v>
      </c>
      <c r="D59" s="284">
        <f>C5</f>
        <v>3072</v>
      </c>
      <c r="E59" s="285" t="s">
        <v>704</v>
      </c>
      <c r="F59" s="275"/>
      <c r="G59" s="292" t="s">
        <v>402</v>
      </c>
      <c r="H59" s="293" t="s">
        <v>772</v>
      </c>
      <c r="I59" s="283" t="s">
        <v>773</v>
      </c>
      <c r="J59" s="304">
        <f>1250*D63*(100-D66)</f>
        <v>112500000</v>
      </c>
      <c r="K59" s="302" t="s">
        <v>764</v>
      </c>
      <c r="L59" s="275"/>
      <c r="M59" s="282" t="s">
        <v>385</v>
      </c>
      <c r="N59" s="283" t="s">
        <v>774</v>
      </c>
      <c r="O59" s="289" t="s">
        <v>696</v>
      </c>
      <c r="P59" s="303">
        <f>VLOOKUP($C$38,$S$40:$AR$56,24,FALSE)</f>
        <v>98460</v>
      </c>
      <c r="Q59" s="302" t="s">
        <v>622</v>
      </c>
      <c r="R59" s="275"/>
      <c r="S59" s="833" t="s">
        <v>531</v>
      </c>
      <c r="T59" s="834"/>
      <c r="U59" s="834"/>
      <c r="V59" s="834"/>
      <c r="W59" s="834"/>
      <c r="X59" s="835"/>
      <c r="Y59" s="275"/>
      <c r="Z59" s="275"/>
      <c r="AA59" s="275"/>
      <c r="AB59" s="275"/>
      <c r="AC59" s="275"/>
      <c r="AD59" s="275"/>
      <c r="AE59" s="275"/>
      <c r="AF59" s="275"/>
      <c r="AG59" s="275"/>
      <c r="AH59" s="275"/>
      <c r="AI59" s="275"/>
      <c r="AJ59" s="275"/>
      <c r="AK59" s="275"/>
      <c r="AL59" s="275"/>
      <c r="AM59" s="275"/>
      <c r="AN59" s="275"/>
      <c r="AO59" s="275"/>
      <c r="AP59" s="275"/>
      <c r="AQ59" s="275"/>
      <c r="AR59" s="275"/>
      <c r="AS59" s="275"/>
    </row>
    <row r="60" spans="1:45" ht="256.5" hidden="1">
      <c r="A60" s="833" t="s">
        <v>571</v>
      </c>
      <c r="B60" s="834"/>
      <c r="C60" s="834"/>
      <c r="D60" s="834"/>
      <c r="E60" s="835"/>
      <c r="F60" s="275"/>
      <c r="G60" s="833" t="s">
        <v>600</v>
      </c>
      <c r="H60" s="834"/>
      <c r="I60" s="834"/>
      <c r="J60" s="834"/>
      <c r="K60" s="835"/>
      <c r="L60" s="275"/>
      <c r="M60" s="282" t="s">
        <v>775</v>
      </c>
      <c r="N60" s="283" t="s">
        <v>776</v>
      </c>
      <c r="O60" s="289" t="s">
        <v>696</v>
      </c>
      <c r="P60" s="303">
        <f>VLOOKUP($C$38,$S$40:$AR$56,25,FALSE)</f>
        <v>46</v>
      </c>
      <c r="Q60" s="302" t="s">
        <v>478</v>
      </c>
      <c r="R60" s="275"/>
      <c r="S60" s="279" t="s">
        <v>437</v>
      </c>
      <c r="T60" s="280" t="s">
        <v>438</v>
      </c>
      <c r="U60" s="280" t="s">
        <v>439</v>
      </c>
      <c r="V60" s="280" t="s">
        <v>447</v>
      </c>
      <c r="W60" s="280" t="s">
        <v>777</v>
      </c>
      <c r="X60" s="281" t="s">
        <v>778</v>
      </c>
      <c r="Y60" s="275"/>
      <c r="Z60" s="275"/>
      <c r="AA60" s="275"/>
      <c r="AB60" s="275"/>
      <c r="AC60" s="275"/>
      <c r="AD60" s="275"/>
      <c r="AE60" s="275"/>
      <c r="AF60" s="275"/>
      <c r="AG60" s="275"/>
      <c r="AH60" s="275"/>
      <c r="AI60" s="275"/>
      <c r="AJ60" s="275"/>
      <c r="AK60" s="275"/>
      <c r="AL60" s="275"/>
      <c r="AM60" s="275"/>
      <c r="AN60" s="275"/>
      <c r="AO60" s="275"/>
      <c r="AP60" s="275"/>
      <c r="AQ60" s="275"/>
      <c r="AR60" s="275"/>
      <c r="AS60" s="275"/>
    </row>
    <row r="61" spans="1:45" ht="409.5" hidden="1">
      <c r="A61" s="283" t="s">
        <v>779</v>
      </c>
      <c r="B61" s="283" t="s">
        <v>372</v>
      </c>
      <c r="C61" s="294">
        <v>0</v>
      </c>
      <c r="D61" s="284">
        <v>0</v>
      </c>
      <c r="E61" s="285" t="s">
        <v>594</v>
      </c>
      <c r="F61" s="275"/>
      <c r="G61" s="292" t="s">
        <v>403</v>
      </c>
      <c r="H61" s="295" t="s">
        <v>780</v>
      </c>
      <c r="I61" s="283" t="s">
        <v>781</v>
      </c>
      <c r="J61" s="304">
        <f>IF(ROUNDDOWN((P92-(P89+P87+P88))/(P83+P85+2),0)-12&lt;180000,ROUNDDOWN((P92-(P89+P87+P88))/(P83+P85+2)-12,0),180000)</f>
        <v>129321</v>
      </c>
      <c r="K61" s="302" t="s">
        <v>454</v>
      </c>
      <c r="L61" s="275"/>
      <c r="M61" s="282" t="s">
        <v>782</v>
      </c>
      <c r="N61" s="283" t="s">
        <v>783</v>
      </c>
      <c r="O61" s="289" t="s">
        <v>696</v>
      </c>
      <c r="P61" s="303">
        <f>VLOOKUP($C$38,$S$40:$AR$56,26,FALSE)</f>
        <v>29</v>
      </c>
      <c r="Q61" s="302" t="s">
        <v>478</v>
      </c>
      <c r="R61" s="275"/>
      <c r="S61" s="282" t="s">
        <v>784</v>
      </c>
      <c r="T61" s="283" t="s">
        <v>785</v>
      </c>
      <c r="U61" s="286" t="str">
        <f>IF(OR(C37="A7-50T",C37="A7-100T"),"0x01000bfc","-")</f>
        <v>0x01000bfc</v>
      </c>
      <c r="V61" s="283" t="s">
        <v>786</v>
      </c>
      <c r="W61" s="306" t="str">
        <f>IF(D46="Ultra short","0x"&amp;DEC2HEX(32),"0x"&amp;DEC2HEX(P48))</f>
        <v>0x16E</v>
      </c>
      <c r="X61" s="852" t="s">
        <v>787</v>
      </c>
      <c r="Y61" s="275" t="s">
        <v>788</v>
      </c>
      <c r="Z61" s="275"/>
      <c r="AA61" s="275"/>
      <c r="AB61" s="275"/>
      <c r="AC61" s="275"/>
      <c r="AD61" s="275"/>
      <c r="AE61" s="275"/>
      <c r="AF61" s="275"/>
      <c r="AG61" s="275"/>
      <c r="AH61" s="275"/>
      <c r="AI61" s="275"/>
      <c r="AJ61" s="275"/>
      <c r="AK61" s="275"/>
      <c r="AL61" s="275"/>
      <c r="AM61" s="275"/>
      <c r="AN61" s="275"/>
      <c r="AO61" s="275"/>
      <c r="AP61" s="275"/>
      <c r="AQ61" s="275"/>
      <c r="AR61" s="275"/>
      <c r="AS61" s="275"/>
    </row>
    <row r="62" spans="1:45" ht="162" hidden="1">
      <c r="A62" s="845" t="s">
        <v>789</v>
      </c>
      <c r="B62" s="834"/>
      <c r="C62" s="834"/>
      <c r="D62" s="834"/>
      <c r="E62" s="835"/>
      <c r="F62" s="275"/>
      <c r="G62" s="833" t="s">
        <v>609</v>
      </c>
      <c r="H62" s="834"/>
      <c r="I62" s="834"/>
      <c r="J62" s="834"/>
      <c r="K62" s="835"/>
      <c r="L62" s="275"/>
      <c r="M62" s="282" t="s">
        <v>790</v>
      </c>
      <c r="N62" s="283" t="s">
        <v>791</v>
      </c>
      <c r="O62" s="289" t="s">
        <v>696</v>
      </c>
      <c r="P62" s="303">
        <f>VLOOKUP($C$38,$S$40:$AS$61,27,FALSE)</f>
        <v>0</v>
      </c>
      <c r="Q62" s="302" t="s">
        <v>478</v>
      </c>
      <c r="R62" s="275"/>
      <c r="S62" s="305" t="s">
        <v>792</v>
      </c>
      <c r="T62" s="283" t="s">
        <v>793</v>
      </c>
      <c r="U62" s="283" t="s">
        <v>794</v>
      </c>
      <c r="V62" s="283" t="s">
        <v>795</v>
      </c>
      <c r="W62" s="304">
        <f>IF(D44="TriggerWidth",1,0)</f>
        <v>0</v>
      </c>
      <c r="X62" s="853"/>
      <c r="Y62" s="275"/>
      <c r="Z62" s="275"/>
      <c r="AA62" s="275"/>
      <c r="AB62" s="275"/>
      <c r="AC62" s="275"/>
      <c r="AD62" s="275"/>
      <c r="AE62" s="275"/>
      <c r="AF62" s="275"/>
      <c r="AG62" s="275"/>
      <c r="AH62" s="275"/>
      <c r="AI62" s="275"/>
      <c r="AJ62" s="275"/>
      <c r="AK62" s="275"/>
      <c r="AL62" s="275"/>
      <c r="AM62" s="275"/>
      <c r="AN62" s="275"/>
      <c r="AO62" s="275"/>
      <c r="AP62" s="275"/>
      <c r="AQ62" s="275"/>
      <c r="AR62" s="275"/>
      <c r="AS62" s="275"/>
    </row>
    <row r="63" spans="1:45" ht="256.5" hidden="1">
      <c r="A63" s="283" t="s">
        <v>230</v>
      </c>
      <c r="B63" s="283" t="s">
        <v>796</v>
      </c>
      <c r="C63" s="294" t="s">
        <v>594</v>
      </c>
      <c r="D63" s="284">
        <f>C18</f>
        <v>1000</v>
      </c>
      <c r="E63" s="285" t="s">
        <v>797</v>
      </c>
      <c r="F63" s="275"/>
      <c r="G63" s="296" t="s">
        <v>404</v>
      </c>
      <c r="H63" s="297" t="s">
        <v>609</v>
      </c>
      <c r="I63" s="310" t="s">
        <v>798</v>
      </c>
      <c r="J63" s="311">
        <f>IF((100-ROUNDDOWN(10*P91/(125000*D63),0)-1)&lt;0,0,(100-ROUNDDOWN(10*P91/(125000*D63),0)-1))</f>
        <v>98</v>
      </c>
      <c r="K63" s="312" t="s">
        <v>614</v>
      </c>
      <c r="L63" s="275"/>
      <c r="M63" s="833" t="s">
        <v>799</v>
      </c>
      <c r="N63" s="834"/>
      <c r="O63" s="834"/>
      <c r="P63" s="834"/>
      <c r="Q63" s="835"/>
      <c r="R63" s="275"/>
      <c r="S63" s="282" t="s">
        <v>800</v>
      </c>
      <c r="T63" s="283" t="s">
        <v>801</v>
      </c>
      <c r="U63" s="286" t="str">
        <f>IF(OR(C37="A7-50T",C37="A7-100T"),"0x01000c00","-")</f>
        <v>0x01000c00</v>
      </c>
      <c r="V63" s="283" t="s">
        <v>802</v>
      </c>
      <c r="W63" s="304" t="str">
        <f>"0x"&amp;DEC2HEX(J52)</f>
        <v>0x0</v>
      </c>
      <c r="X63" s="853"/>
      <c r="Y63" s="275"/>
      <c r="Z63" s="275"/>
      <c r="AA63" s="275"/>
      <c r="AB63" s="275"/>
      <c r="AC63" s="275"/>
      <c r="AD63" s="275"/>
      <c r="AE63" s="275"/>
      <c r="AF63" s="275"/>
      <c r="AG63" s="275"/>
      <c r="AH63" s="275"/>
      <c r="AI63" s="275"/>
      <c r="AJ63" s="275"/>
      <c r="AK63" s="275"/>
      <c r="AL63" s="275"/>
      <c r="AM63" s="275"/>
      <c r="AN63" s="275"/>
      <c r="AO63" s="275"/>
      <c r="AP63" s="275"/>
      <c r="AQ63" s="275"/>
      <c r="AR63" s="275"/>
      <c r="AS63" s="275"/>
    </row>
    <row r="64" spans="1:45" ht="108" hidden="1">
      <c r="A64" s="283" t="s">
        <v>803</v>
      </c>
      <c r="B64" s="283" t="s">
        <v>221</v>
      </c>
      <c r="C64" s="294">
        <v>1500</v>
      </c>
      <c r="D64" s="284">
        <f>C13</f>
        <v>1500</v>
      </c>
      <c r="E64" s="285" t="s">
        <v>454</v>
      </c>
      <c r="F64" s="275"/>
      <c r="G64" s="842" t="s">
        <v>804</v>
      </c>
      <c r="H64" s="843"/>
      <c r="I64" s="843"/>
      <c r="J64" s="843"/>
      <c r="K64" s="844"/>
      <c r="L64" s="275"/>
      <c r="M64" s="279" t="s">
        <v>444</v>
      </c>
      <c r="N64" s="280" t="s">
        <v>438</v>
      </c>
      <c r="O64" s="280" t="s">
        <v>447</v>
      </c>
      <c r="P64" s="280" t="s">
        <v>688</v>
      </c>
      <c r="Q64" s="281" t="s">
        <v>449</v>
      </c>
      <c r="R64" s="275"/>
      <c r="S64" s="282" t="s">
        <v>805</v>
      </c>
      <c r="T64" s="283" t="s">
        <v>806</v>
      </c>
      <c r="U64" s="286" t="str">
        <f>IF(OR(C37="A7-50T",C37="A7-100T"),"0x01000c04","-")</f>
        <v>0x01000c04</v>
      </c>
      <c r="V64" s="283" t="s">
        <v>807</v>
      </c>
      <c r="W64" s="304" t="str">
        <f>"0x"&amp;DEC2HEX(J51)</f>
        <v>0x147C</v>
      </c>
      <c r="X64" s="853"/>
      <c r="Y64" s="275"/>
      <c r="Z64" s="275"/>
      <c r="AA64" s="275"/>
      <c r="AB64" s="275"/>
      <c r="AC64" s="275"/>
      <c r="AD64" s="275"/>
      <c r="AE64" s="275"/>
      <c r="AF64" s="275"/>
      <c r="AG64" s="275"/>
      <c r="AH64" s="275"/>
      <c r="AI64" s="275"/>
      <c r="AJ64" s="275"/>
      <c r="AK64" s="275"/>
      <c r="AL64" s="275"/>
      <c r="AM64" s="275"/>
      <c r="AN64" s="275"/>
      <c r="AO64" s="275"/>
      <c r="AP64" s="275"/>
      <c r="AQ64" s="275"/>
      <c r="AR64" s="275"/>
      <c r="AS64" s="275"/>
    </row>
    <row r="65" spans="1:45" ht="81" hidden="1">
      <c r="A65" s="283" t="str">
        <f>"流通道包间隔(不包括12B最小值的部分) 
范围:0-"&amp;J61</f>
        <v>流通道包间隔(不包括12B最小值的部分) 
范围:0-129321</v>
      </c>
      <c r="B65" s="283" t="s">
        <v>223</v>
      </c>
      <c r="C65" s="294">
        <v>0</v>
      </c>
      <c r="D65" s="284">
        <f>C14</f>
        <v>0</v>
      </c>
      <c r="E65" s="285" t="s">
        <v>454</v>
      </c>
      <c r="F65" s="275"/>
      <c r="G65" s="333" t="s">
        <v>808</v>
      </c>
      <c r="H65" s="334" t="s">
        <v>809</v>
      </c>
      <c r="I65" s="337" t="s">
        <v>810</v>
      </c>
      <c r="J65" s="338">
        <f>MAX(INT(D45*1000/J41),1)</f>
        <v>2043</v>
      </c>
      <c r="K65" s="339" t="s">
        <v>469</v>
      </c>
      <c r="L65" s="275"/>
      <c r="M65" s="288" t="s">
        <v>386</v>
      </c>
      <c r="N65" s="289" t="s">
        <v>452</v>
      </c>
      <c r="O65" s="289" t="s">
        <v>453</v>
      </c>
      <c r="P65" s="303">
        <v>7</v>
      </c>
      <c r="Q65" s="316" t="s">
        <v>454</v>
      </c>
      <c r="R65" s="275"/>
      <c r="S65" s="344" t="s">
        <v>811</v>
      </c>
      <c r="T65" s="286" t="s">
        <v>812</v>
      </c>
      <c r="U65" s="286" t="str">
        <f>IF(OR(C37="A7-50T",C37="A7-100T"),"0x01000c08","-")</f>
        <v>0x01000c08</v>
      </c>
      <c r="V65" s="286" t="s">
        <v>813</v>
      </c>
      <c r="W65" s="306" t="str">
        <f>"0x"&amp;DEC2HEX(MAX(J45,J46,J47,J48))</f>
        <v>0x2822</v>
      </c>
      <c r="X65" s="853"/>
      <c r="Y65" s="275"/>
      <c r="Z65" s="275"/>
      <c r="AA65" s="275"/>
      <c r="AB65" s="275"/>
      <c r="AC65" s="275"/>
      <c r="AD65" s="275"/>
      <c r="AE65" s="275"/>
      <c r="AF65" s="275"/>
      <c r="AG65" s="275"/>
      <c r="AH65" s="275"/>
      <c r="AI65" s="275"/>
      <c r="AJ65" s="275"/>
      <c r="AK65" s="275"/>
      <c r="AL65" s="275"/>
      <c r="AM65" s="275"/>
      <c r="AN65" s="275"/>
      <c r="AO65" s="275"/>
      <c r="AP65" s="275"/>
      <c r="AQ65" s="275"/>
      <c r="AR65" s="275"/>
      <c r="AS65" s="275"/>
    </row>
    <row r="66" spans="1:45" ht="391.5" hidden="1">
      <c r="A66" s="283" t="str">
        <f>"预留带宽 
范围:0-"&amp;J63</f>
        <v>预留带宽 
范围:0-98</v>
      </c>
      <c r="B66" s="283" t="s">
        <v>233</v>
      </c>
      <c r="C66" s="294">
        <v>10</v>
      </c>
      <c r="D66" s="284">
        <f>C19</f>
        <v>10</v>
      </c>
      <c r="E66" s="285" t="s">
        <v>614</v>
      </c>
      <c r="F66" s="275"/>
      <c r="G66" s="289" t="s">
        <v>814</v>
      </c>
      <c r="H66" s="289" t="s">
        <v>815</v>
      </c>
      <c r="I66" s="283" t="s">
        <v>816</v>
      </c>
      <c r="J66" s="304" t="str">
        <f>IF((D51=1)*(D44="TriggerWidth"),ROUNDUP(J45+MAX(ROUNDUP(D49*1000/J41,0),J65)-(J65-ROUNDUP(P60*1000/J41,0)),0),"null")</f>
        <v>null</v>
      </c>
      <c r="K66" s="283" t="s">
        <v>469</v>
      </c>
      <c r="L66" s="275"/>
      <c r="M66" s="288" t="s">
        <v>387</v>
      </c>
      <c r="N66" s="289" t="s">
        <v>462</v>
      </c>
      <c r="O66" s="289" t="s">
        <v>463</v>
      </c>
      <c r="P66" s="303">
        <v>1</v>
      </c>
      <c r="Q66" s="316" t="s">
        <v>454</v>
      </c>
      <c r="R66" s="275"/>
      <c r="S66" s="344" t="s">
        <v>817</v>
      </c>
      <c r="T66" s="286" t="s">
        <v>818</v>
      </c>
      <c r="U66" s="286" t="str">
        <f>IF(OR(C37="A7-50T",C37="A7-100T"),"0x01000c10","-")</f>
        <v>0x01000c10</v>
      </c>
      <c r="V66" s="286" t="s">
        <v>813</v>
      </c>
      <c r="W66" s="306" t="str">
        <f>"0x"&amp;DEC2HEX(MAX(J45,J46))</f>
        <v>0x148F</v>
      </c>
      <c r="X66" s="853"/>
      <c r="Y66" s="275"/>
      <c r="Z66" s="275"/>
      <c r="AA66" s="275"/>
      <c r="AB66" s="275"/>
      <c r="AC66" s="275"/>
      <c r="AD66" s="275"/>
      <c r="AE66" s="275"/>
      <c r="AF66" s="275"/>
      <c r="AG66" s="275"/>
      <c r="AH66" s="275"/>
      <c r="AI66" s="275"/>
      <c r="AJ66" s="275"/>
      <c r="AK66" s="275"/>
      <c r="AL66" s="275"/>
      <c r="AM66" s="275"/>
      <c r="AN66" s="275"/>
      <c r="AO66" s="275"/>
      <c r="AP66" s="275"/>
      <c r="AQ66" s="275"/>
      <c r="AR66" s="275"/>
      <c r="AS66" s="275"/>
    </row>
    <row r="67" spans="1:45" ht="310.5" hidden="1">
      <c r="A67" s="845" t="s">
        <v>552</v>
      </c>
      <c r="B67" s="834"/>
      <c r="C67" s="834"/>
      <c r="D67" s="834"/>
      <c r="E67" s="835"/>
      <c r="F67" s="275"/>
      <c r="G67" s="289" t="s">
        <v>819</v>
      </c>
      <c r="H67" s="289" t="s">
        <v>820</v>
      </c>
      <c r="I67" s="283" t="s">
        <v>821</v>
      </c>
      <c r="J67" s="304" t="str">
        <f>IF((D44="TriggerWidth")*(D51=1),MAX(ROUNDUP(D49*1000/J41,0),J65)+ROUNDUP(P61*1000/J41,0),"null")</f>
        <v>null</v>
      </c>
      <c r="K67" s="283" t="s">
        <v>469</v>
      </c>
      <c r="L67" s="275"/>
      <c r="M67" s="288" t="s">
        <v>388</v>
      </c>
      <c r="N67" s="289" t="s">
        <v>470</v>
      </c>
      <c r="O67" s="289" t="s">
        <v>471</v>
      </c>
      <c r="P67" s="303">
        <v>14</v>
      </c>
      <c r="Q67" s="316" t="s">
        <v>454</v>
      </c>
      <c r="R67" s="275"/>
      <c r="S67" s="345" t="s">
        <v>822</v>
      </c>
      <c r="T67" s="346" t="s">
        <v>823</v>
      </c>
      <c r="U67" s="346" t="str">
        <f>IF(OR(C37="A7-50T",C37="A7-100T"),"0x01000c0c","-")</f>
        <v>0x01000c0c</v>
      </c>
      <c r="V67" s="346" t="s">
        <v>813</v>
      </c>
      <c r="W67" s="306" t="str">
        <f>"0x"&amp;IF(D52="HighSpeed",IF(D44="TriggerWidth",DEC2HEX(MAX(J45,J47)),DEC2HEX(MAX(J45,J46,J47))),IF(D44="TriggerWidth",DEC2HEX(MAX(J45,J47,P95)),DEC2HEX(MAX(J45,J46,J47,P95))))</f>
        <v>0x241E</v>
      </c>
      <c r="X67" s="854"/>
      <c r="Y67" s="275"/>
      <c r="Z67" s="275"/>
      <c r="AA67" s="275"/>
      <c r="AB67" s="275"/>
      <c r="AC67" s="275"/>
      <c r="AD67" s="275"/>
      <c r="AE67" s="275"/>
      <c r="AF67" s="275"/>
      <c r="AG67" s="275"/>
      <c r="AH67" s="275"/>
      <c r="AI67" s="275"/>
      <c r="AJ67" s="275"/>
      <c r="AK67" s="275"/>
      <c r="AL67" s="275"/>
      <c r="AM67" s="275"/>
      <c r="AN67" s="275"/>
      <c r="AO67" s="275"/>
      <c r="AP67" s="275"/>
      <c r="AQ67" s="275"/>
      <c r="AR67" s="275"/>
      <c r="AS67" s="275"/>
    </row>
    <row r="68" spans="1:45" ht="108" hidden="1">
      <c r="A68" s="283" t="s">
        <v>824</v>
      </c>
      <c r="B68" s="283" t="s">
        <v>558</v>
      </c>
      <c r="C68" s="283">
        <v>0</v>
      </c>
      <c r="D68" s="284">
        <f>C17</f>
        <v>0</v>
      </c>
      <c r="E68" s="285" t="s">
        <v>594</v>
      </c>
      <c r="F68" s="275"/>
      <c r="G68" s="275"/>
      <c r="H68" s="275"/>
      <c r="I68" s="275"/>
      <c r="J68" s="275"/>
      <c r="K68" s="275"/>
      <c r="L68" s="275"/>
      <c r="M68" s="288" t="s">
        <v>389</v>
      </c>
      <c r="N68" s="289" t="s">
        <v>479</v>
      </c>
      <c r="O68" s="289" t="s">
        <v>480</v>
      </c>
      <c r="P68" s="303">
        <v>20</v>
      </c>
      <c r="Q68" s="316" t="s">
        <v>454</v>
      </c>
      <c r="R68" s="275"/>
      <c r="S68" s="344" t="s">
        <v>825</v>
      </c>
      <c r="T68" s="286" t="s">
        <v>826</v>
      </c>
      <c r="U68" s="286" t="s">
        <v>827</v>
      </c>
      <c r="V68" s="286" t="s">
        <v>828</v>
      </c>
      <c r="W68" s="306" t="str">
        <f>"0x"&amp;DEC2HEX(J65)</f>
        <v>0x7FB</v>
      </c>
      <c r="X68" s="347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5"/>
      <c r="AL68" s="275"/>
      <c r="AM68" s="275"/>
      <c r="AN68" s="275"/>
      <c r="AO68" s="275"/>
      <c r="AP68" s="275"/>
      <c r="AQ68" s="275"/>
      <c r="AR68" s="275"/>
      <c r="AS68" s="275"/>
    </row>
    <row r="69" spans="1:45" ht="54" hidden="1">
      <c r="A69" s="283" t="s">
        <v>552</v>
      </c>
      <c r="B69" s="283" t="s">
        <v>565</v>
      </c>
      <c r="C69" s="283">
        <f>VLOOKUP($C$38,$S$40:$AN$56,21,FALSE)</f>
        <v>9</v>
      </c>
      <c r="D69" s="284">
        <f>C16</f>
        <v>9</v>
      </c>
      <c r="E69" s="285" t="s">
        <v>488</v>
      </c>
      <c r="F69" s="275"/>
      <c r="G69" s="275"/>
      <c r="H69" s="275"/>
      <c r="I69" s="340"/>
      <c r="J69" s="275"/>
      <c r="K69" s="275"/>
      <c r="L69" s="275"/>
      <c r="M69" s="288" t="s">
        <v>390</v>
      </c>
      <c r="N69" s="289" t="s">
        <v>489</v>
      </c>
      <c r="O69" s="289" t="s">
        <v>490</v>
      </c>
      <c r="P69" s="303">
        <v>8</v>
      </c>
      <c r="Q69" s="316" t="s">
        <v>454</v>
      </c>
      <c r="R69" s="275"/>
      <c r="S69" s="348" t="s">
        <v>829</v>
      </c>
      <c r="T69" s="283" t="s">
        <v>830</v>
      </c>
      <c r="U69" s="286" t="str">
        <f>IF(OR(C37="A7-50T",C37="A7-100T"),"0x01100000",IF(C37="EFX","0xF8140000","0x77601500"))</f>
        <v>0x01100000</v>
      </c>
      <c r="V69" s="283" t="s">
        <v>831</v>
      </c>
      <c r="W69" s="304" t="s">
        <v>832</v>
      </c>
      <c r="X69" s="347"/>
      <c r="Y69" s="275"/>
      <c r="Z69" s="275"/>
      <c r="AA69" s="275"/>
      <c r="AB69" s="275"/>
      <c r="AC69" s="275"/>
      <c r="AD69" s="275"/>
      <c r="AE69" s="275"/>
      <c r="AF69" s="275"/>
      <c r="AG69" s="275"/>
      <c r="AH69" s="275"/>
      <c r="AI69" s="275"/>
      <c r="AJ69" s="275"/>
      <c r="AK69" s="275"/>
      <c r="AL69" s="275"/>
      <c r="AM69" s="275"/>
      <c r="AN69" s="275"/>
      <c r="AO69" s="275"/>
      <c r="AP69" s="275"/>
      <c r="AQ69" s="275"/>
      <c r="AR69" s="275"/>
      <c r="AS69" s="275"/>
    </row>
    <row r="70" spans="1:45" ht="175.5" hidden="1">
      <c r="A70" s="846" t="s">
        <v>833</v>
      </c>
      <c r="B70" s="847"/>
      <c r="C70" s="847"/>
      <c r="D70" s="847"/>
      <c r="E70" s="848"/>
      <c r="F70" s="275"/>
      <c r="G70" s="275"/>
      <c r="H70" s="275"/>
      <c r="I70" s="340"/>
      <c r="J70" s="275"/>
      <c r="K70" s="275"/>
      <c r="L70" s="275"/>
      <c r="M70" s="288" t="s">
        <v>391</v>
      </c>
      <c r="N70" s="289" t="s">
        <v>494</v>
      </c>
      <c r="O70" s="289" t="s">
        <v>490</v>
      </c>
      <c r="P70" s="303">
        <v>8</v>
      </c>
      <c r="Q70" s="316" t="s">
        <v>454</v>
      </c>
      <c r="R70" s="275"/>
      <c r="S70" s="348" t="s">
        <v>834</v>
      </c>
      <c r="T70" s="283" t="s">
        <v>835</v>
      </c>
      <c r="U70" s="286" t="s">
        <v>836</v>
      </c>
      <c r="V70" s="283" t="s">
        <v>837</v>
      </c>
      <c r="W70" s="304" t="str">
        <f>"0x"&amp;(IF(D44="Ultra Short",0,1))</f>
        <v>0x1</v>
      </c>
      <c r="X70" s="347" t="s">
        <v>838</v>
      </c>
      <c r="Y70" s="275"/>
      <c r="Z70" s="275"/>
      <c r="AA70" s="275"/>
      <c r="AB70" s="275"/>
      <c r="AC70" s="275"/>
      <c r="AD70" s="275"/>
      <c r="AE70" s="275"/>
      <c r="AF70" s="275"/>
      <c r="AG70" s="275"/>
      <c r="AH70" s="275"/>
      <c r="AI70" s="275"/>
      <c r="AJ70" s="275"/>
      <c r="AK70" s="275"/>
      <c r="AL70" s="275"/>
      <c r="AM70" s="275"/>
      <c r="AN70" s="275"/>
      <c r="AO70" s="275"/>
      <c r="AP70" s="275"/>
      <c r="AQ70" s="275"/>
      <c r="AR70" s="275"/>
      <c r="AS70" s="275"/>
    </row>
    <row r="71" spans="1:45" ht="135" hidden="1">
      <c r="A71" s="283" t="s">
        <v>840</v>
      </c>
      <c r="B71" s="283" t="s">
        <v>841</v>
      </c>
      <c r="C71" s="283">
        <v>1</v>
      </c>
      <c r="D71" s="284">
        <f>C6</f>
        <v>1</v>
      </c>
      <c r="E71" s="285" t="s">
        <v>594</v>
      </c>
      <c r="F71" s="275"/>
      <c r="G71" s="275"/>
      <c r="H71" s="275"/>
      <c r="I71" s="274"/>
      <c r="J71" s="275"/>
      <c r="K71" s="275"/>
      <c r="L71" s="275"/>
      <c r="M71" s="288" t="s">
        <v>392</v>
      </c>
      <c r="N71" s="289" t="s">
        <v>498</v>
      </c>
      <c r="O71" s="289" t="s">
        <v>499</v>
      </c>
      <c r="P71" s="303">
        <v>4</v>
      </c>
      <c r="Q71" s="316" t="s">
        <v>454</v>
      </c>
      <c r="R71" s="275"/>
      <c r="S71" s="348" t="s">
        <v>842</v>
      </c>
      <c r="T71" s="283" t="s">
        <v>843</v>
      </c>
      <c r="U71" s="286" t="str">
        <f>IF(OR(C37="A7-50T",C37="A7-100T"),"0x01000bf8","-")</f>
        <v>0x01000bf8</v>
      </c>
      <c r="V71" s="283" t="s">
        <v>844</v>
      </c>
      <c r="W71" s="304" t="str">
        <f>"0x"&amp;(IF(D46="Ultra Short",0,1))</f>
        <v>0x1</v>
      </c>
      <c r="X71" s="347" t="s">
        <v>845</v>
      </c>
      <c r="Y71" s="275"/>
      <c r="Z71" s="275"/>
      <c r="AA71" s="275"/>
      <c r="AB71" s="275"/>
      <c r="AC71" s="275"/>
      <c r="AD71" s="275"/>
      <c r="AE71" s="275"/>
      <c r="AF71" s="275"/>
      <c r="AG71" s="275"/>
      <c r="AH71" s="275"/>
      <c r="AI71" s="275"/>
      <c r="AJ71" s="275"/>
      <c r="AK71" s="275"/>
      <c r="AL71" s="275"/>
      <c r="AM71" s="275"/>
      <c r="AN71" s="275"/>
      <c r="AO71" s="275"/>
      <c r="AP71" s="275"/>
      <c r="AQ71" s="275"/>
      <c r="AR71" s="275"/>
      <c r="AS71" s="275"/>
    </row>
    <row r="72" spans="1:45" ht="121.5" hidden="1">
      <c r="A72" s="310" t="s">
        <v>847</v>
      </c>
      <c r="B72" s="310" t="s">
        <v>848</v>
      </c>
      <c r="C72" s="310">
        <v>1</v>
      </c>
      <c r="D72" s="284">
        <f>C7</f>
        <v>1</v>
      </c>
      <c r="E72" s="332" t="s">
        <v>594</v>
      </c>
      <c r="F72" s="275"/>
      <c r="G72" s="275"/>
      <c r="H72" s="275"/>
      <c r="I72" s="275"/>
      <c r="J72" s="275"/>
      <c r="K72" s="275"/>
      <c r="L72" s="275"/>
      <c r="M72" s="288" t="s">
        <v>331</v>
      </c>
      <c r="N72" s="289" t="s">
        <v>330</v>
      </c>
      <c r="O72" s="289" t="s">
        <v>504</v>
      </c>
      <c r="P72" s="303">
        <v>12</v>
      </c>
      <c r="Q72" s="316" t="s">
        <v>454</v>
      </c>
      <c r="R72" s="275"/>
      <c r="S72" s="348" t="s">
        <v>399</v>
      </c>
      <c r="T72" s="283" t="s">
        <v>849</v>
      </c>
      <c r="U72" s="286" t="str">
        <f>IF(OR(C37="A7-50T",C37="A7-100T"),"0x01000c14","-")</f>
        <v>0x01000c14</v>
      </c>
      <c r="V72" s="283" t="s">
        <v>850</v>
      </c>
      <c r="W72" s="304" t="str">
        <f>"0x"&amp;DEC2HEX(J45)</f>
        <v>0xC16</v>
      </c>
      <c r="X72" s="347" t="s">
        <v>851</v>
      </c>
      <c r="Y72" s="275"/>
      <c r="Z72" s="275"/>
      <c r="AA72" s="275"/>
      <c r="AB72" s="275"/>
      <c r="AC72" s="275"/>
      <c r="AD72" s="275"/>
      <c r="AE72" s="275"/>
      <c r="AF72" s="275"/>
      <c r="AG72" s="275"/>
      <c r="AH72" s="275"/>
      <c r="AI72" s="275"/>
      <c r="AJ72" s="275"/>
      <c r="AK72" s="275"/>
      <c r="AL72" s="275"/>
      <c r="AM72" s="275"/>
      <c r="AN72" s="275"/>
      <c r="AO72" s="275"/>
      <c r="AP72" s="275"/>
      <c r="AQ72" s="275"/>
      <c r="AR72" s="275"/>
      <c r="AS72" s="275"/>
    </row>
    <row r="73" spans="1:45" ht="108" hidden="1">
      <c r="A73" s="283" t="s">
        <v>852</v>
      </c>
      <c r="B73" s="283" t="s">
        <v>853</v>
      </c>
      <c r="C73" s="283">
        <v>1</v>
      </c>
      <c r="D73" s="284">
        <f>C8</f>
        <v>1</v>
      </c>
      <c r="E73" s="285" t="s">
        <v>594</v>
      </c>
      <c r="F73" s="275"/>
      <c r="G73" s="275"/>
      <c r="H73" s="275"/>
      <c r="I73" s="275"/>
      <c r="J73" s="275"/>
      <c r="K73" s="275"/>
      <c r="L73" s="275"/>
      <c r="M73" s="288" t="s">
        <v>341</v>
      </c>
      <c r="N73" s="283" t="s">
        <v>511</v>
      </c>
      <c r="O73" s="289" t="s">
        <v>512</v>
      </c>
      <c r="P73" s="303">
        <f>P68+P69+P70</f>
        <v>36</v>
      </c>
      <c r="Q73" s="316" t="s">
        <v>454</v>
      </c>
      <c r="R73" s="275"/>
      <c r="S73" s="348" t="s">
        <v>854</v>
      </c>
      <c r="T73" s="283" t="s">
        <v>855</v>
      </c>
      <c r="U73" s="286" t="str">
        <f>IF(OR(C37="A7-50T",C37="A7-100T"),"0x01200100",IF(C37="EFX","0xF8160100","0x7760144c"))</f>
        <v>0x01200100</v>
      </c>
      <c r="V73" s="283" t="s">
        <v>856</v>
      </c>
      <c r="W73" s="304" t="str">
        <f>"0x"&amp;DEC2HEX(D64-P73)</f>
        <v>0x5B8</v>
      </c>
      <c r="X73" s="347" t="s">
        <v>857</v>
      </c>
      <c r="Y73" s="275"/>
      <c r="Z73" s="275"/>
      <c r="AA73" s="275"/>
      <c r="AB73" s="275"/>
      <c r="AC73" s="275"/>
      <c r="AD73" s="275"/>
      <c r="AE73" s="275"/>
      <c r="AF73" s="275"/>
      <c r="AG73" s="275"/>
      <c r="AH73" s="275"/>
      <c r="AI73" s="275"/>
      <c r="AJ73" s="275"/>
      <c r="AK73" s="275"/>
      <c r="AL73" s="275"/>
      <c r="AM73" s="275"/>
      <c r="AN73" s="275"/>
      <c r="AO73" s="275"/>
      <c r="AP73" s="275"/>
      <c r="AQ73" s="275"/>
      <c r="AR73" s="275"/>
      <c r="AS73" s="275"/>
    </row>
    <row r="74" spans="1:45" ht="54" hidden="1">
      <c r="A74" s="310" t="s">
        <v>858</v>
      </c>
      <c r="B74" s="310" t="s">
        <v>859</v>
      </c>
      <c r="C74" s="310">
        <v>1</v>
      </c>
      <c r="D74" s="284">
        <f>C9</f>
        <v>1</v>
      </c>
      <c r="E74" s="332" t="s">
        <v>594</v>
      </c>
      <c r="F74" s="275"/>
      <c r="G74" s="275"/>
      <c r="H74" s="275"/>
      <c r="I74" s="275"/>
      <c r="J74" s="275"/>
      <c r="K74" s="275"/>
      <c r="L74" s="275"/>
      <c r="M74" s="288" t="s">
        <v>343</v>
      </c>
      <c r="N74" s="283" t="s">
        <v>519</v>
      </c>
      <c r="O74" s="289" t="s">
        <v>520</v>
      </c>
      <c r="P74" s="303">
        <f>P65+P66+P67+P71</f>
        <v>26</v>
      </c>
      <c r="Q74" s="316" t="s">
        <v>454</v>
      </c>
      <c r="R74" s="275"/>
      <c r="S74" s="349" t="s">
        <v>860</v>
      </c>
      <c r="T74" s="310" t="s">
        <v>861</v>
      </c>
      <c r="U74" s="350" t="str">
        <f>IF(OR(C37="A7-50T",C37="A7-100T"),"0x01400080",IF(C37="EFX","0xF81A0080","0x776014c0"))</f>
        <v>0x01400080</v>
      </c>
      <c r="V74" s="310" t="s">
        <v>862</v>
      </c>
      <c r="W74" s="311" t="str">
        <f>"0x"&amp;DEC2HEX(D65)</f>
        <v>0x0</v>
      </c>
      <c r="X74" s="351" t="s">
        <v>863</v>
      </c>
      <c r="Y74" s="275"/>
      <c r="Z74" s="275"/>
      <c r="AA74" s="275"/>
      <c r="AB74" s="275"/>
      <c r="AC74" s="275"/>
      <c r="AD74" s="275"/>
      <c r="AE74" s="275"/>
      <c r="AF74" s="275"/>
      <c r="AG74" s="275"/>
      <c r="AH74" s="275"/>
      <c r="AI74" s="275"/>
      <c r="AJ74" s="275"/>
      <c r="AK74" s="275"/>
      <c r="AL74" s="275"/>
      <c r="AM74" s="275"/>
      <c r="AN74" s="275"/>
      <c r="AO74" s="275"/>
      <c r="AP74" s="275"/>
      <c r="AQ74" s="275"/>
      <c r="AR74" s="275"/>
      <c r="AS74" s="275"/>
    </row>
    <row r="75" spans="1:45" ht="148.5" hidden="1">
      <c r="A75" s="849" t="s">
        <v>272</v>
      </c>
      <c r="B75" s="850"/>
      <c r="C75" s="850"/>
      <c r="D75" s="850"/>
      <c r="E75" s="851"/>
      <c r="F75" s="275"/>
      <c r="G75" s="275"/>
      <c r="H75" s="275"/>
      <c r="I75" s="275"/>
      <c r="J75" s="275"/>
      <c r="K75" s="275"/>
      <c r="L75" s="275"/>
      <c r="M75" s="288" t="s">
        <v>345</v>
      </c>
      <c r="N75" s="289" t="s">
        <v>344</v>
      </c>
      <c r="O75" s="289" t="s">
        <v>525</v>
      </c>
      <c r="P75" s="303">
        <f>64-P67-P71-P73</f>
        <v>10</v>
      </c>
      <c r="Q75" s="316" t="s">
        <v>454</v>
      </c>
      <c r="R75" s="275"/>
      <c r="S75" s="352" t="s">
        <v>864</v>
      </c>
      <c r="T75" s="350" t="s">
        <v>865</v>
      </c>
      <c r="U75" s="350" t="str">
        <f>IF(OR(C37="A7-50T",C37="A7-100T"),"0x01100010",IF(C37="EFX","0xF8140010","0x7760147c"))</f>
        <v>0x01100010</v>
      </c>
      <c r="V75" s="350" t="s">
        <v>866</v>
      </c>
      <c r="W75" s="353" t="str">
        <f>"0x"&amp;DEC2HEX(ROUNDUP((J41-P56/P58*1000000/P59)/(1000000/P59),0))</f>
        <v>0x67</v>
      </c>
      <c r="X75" s="354" t="s">
        <v>867</v>
      </c>
      <c r="Y75" s="275"/>
      <c r="Z75" s="275"/>
      <c r="AA75" s="275"/>
      <c r="AB75" s="275"/>
      <c r="AC75" s="275"/>
      <c r="AD75" s="275"/>
      <c r="AE75" s="275"/>
      <c r="AF75" s="275"/>
      <c r="AG75" s="275"/>
      <c r="AH75" s="275"/>
      <c r="AI75" s="275"/>
      <c r="AJ75" s="275"/>
      <c r="AK75" s="275"/>
      <c r="AL75" s="275"/>
      <c r="AM75" s="275"/>
      <c r="AN75" s="275"/>
      <c r="AO75" s="275"/>
      <c r="AP75" s="275"/>
      <c r="AQ75" s="275"/>
      <c r="AR75" s="275"/>
      <c r="AS75" s="275"/>
    </row>
    <row r="76" spans="1:45" ht="27" hidden="1">
      <c r="A76" s="335" t="s">
        <v>252</v>
      </c>
      <c r="B76" s="829" t="s">
        <v>407</v>
      </c>
      <c r="C76" s="830"/>
      <c r="D76" s="831">
        <f>J43</f>
        <v>8.5095519720886692</v>
      </c>
      <c r="E76" s="832"/>
      <c r="F76" s="275"/>
      <c r="G76" s="275"/>
      <c r="H76" s="275"/>
      <c r="I76" s="275"/>
      <c r="J76" s="275"/>
      <c r="K76" s="275"/>
      <c r="L76" s="275"/>
      <c r="M76" s="833" t="s">
        <v>868</v>
      </c>
      <c r="N76" s="834"/>
      <c r="O76" s="834"/>
      <c r="P76" s="834"/>
      <c r="Q76" s="835"/>
      <c r="R76" s="275"/>
      <c r="S76" s="836" t="s">
        <v>869</v>
      </c>
      <c r="T76" s="837"/>
      <c r="U76" s="837"/>
      <c r="V76" s="837"/>
      <c r="W76" s="837"/>
      <c r="X76" s="838"/>
      <c r="Y76" s="275"/>
      <c r="Z76" s="275"/>
      <c r="AA76" s="275"/>
      <c r="AB76" s="275"/>
      <c r="AC76" s="275"/>
      <c r="AD76" s="275"/>
      <c r="AE76" s="275"/>
      <c r="AF76" s="275"/>
      <c r="AG76" s="275"/>
      <c r="AH76" s="275"/>
      <c r="AI76" s="275"/>
      <c r="AJ76" s="275"/>
      <c r="AK76" s="275"/>
      <c r="AL76" s="275"/>
      <c r="AM76" s="275"/>
      <c r="AN76" s="275"/>
      <c r="AO76" s="275"/>
      <c r="AP76" s="275"/>
      <c r="AQ76" s="275"/>
      <c r="AR76" s="275"/>
      <c r="AS76" s="275"/>
    </row>
    <row r="77" spans="1:45" ht="121.5" hidden="1">
      <c r="A77" s="275"/>
      <c r="B77" s="275"/>
      <c r="C77" s="275"/>
      <c r="D77" s="274"/>
      <c r="E77" s="274"/>
      <c r="F77" s="275"/>
      <c r="G77" s="275"/>
      <c r="H77" s="275"/>
      <c r="I77" s="275"/>
      <c r="J77" s="275"/>
      <c r="K77" s="275"/>
      <c r="L77" s="275"/>
      <c r="M77" s="279" t="s">
        <v>444</v>
      </c>
      <c r="N77" s="280" t="s">
        <v>438</v>
      </c>
      <c r="O77" s="280" t="s">
        <v>447</v>
      </c>
      <c r="P77" s="280" t="s">
        <v>688</v>
      </c>
      <c r="Q77" s="281" t="s">
        <v>449</v>
      </c>
      <c r="R77" s="275"/>
      <c r="S77" s="352" t="s">
        <v>870</v>
      </c>
      <c r="T77" s="350" t="s">
        <v>871</v>
      </c>
      <c r="U77" s="350" t="str">
        <f>IF(OR(C37="A7-50T",C37="A7-100T"),"0x1000e100 ","-")</f>
        <v xml:space="preserve">0x1000e100 </v>
      </c>
      <c r="V77" s="350" t="s">
        <v>872</v>
      </c>
      <c r="W77" s="353" t="str">
        <f>IF(D46="Ultra short","0x"&amp;DEC2HEX(ROUNDDOWN(J50/P49,0)),"-")</f>
        <v>-</v>
      </c>
      <c r="X77" s="840" t="s">
        <v>873</v>
      </c>
      <c r="Y77" s="275"/>
      <c r="Z77" s="275"/>
      <c r="AA77" s="275"/>
      <c r="AB77" s="275"/>
      <c r="AC77" s="275"/>
      <c r="AD77" s="275"/>
      <c r="AE77" s="275"/>
      <c r="AF77" s="275"/>
      <c r="AG77" s="275"/>
      <c r="AH77" s="275"/>
      <c r="AI77" s="275"/>
      <c r="AJ77" s="275"/>
      <c r="AK77" s="275"/>
      <c r="AL77" s="275"/>
      <c r="AM77" s="275"/>
      <c r="AN77" s="275"/>
      <c r="AO77" s="275"/>
      <c r="AP77" s="275"/>
      <c r="AQ77" s="275"/>
      <c r="AR77" s="275"/>
      <c r="AS77" s="275"/>
    </row>
    <row r="78" spans="1:45" ht="121.5" hidden="1">
      <c r="A78" s="275"/>
      <c r="B78" s="336"/>
      <c r="C78" s="275"/>
      <c r="D78" s="274"/>
      <c r="E78" s="274"/>
      <c r="F78" s="275"/>
      <c r="G78" s="275"/>
      <c r="H78" s="275"/>
      <c r="I78" s="275"/>
      <c r="J78" s="275"/>
      <c r="K78" s="275"/>
      <c r="L78" s="275"/>
      <c r="M78" s="288" t="s">
        <v>393</v>
      </c>
      <c r="N78" s="283" t="s">
        <v>1124</v>
      </c>
      <c r="O78" s="289" t="s">
        <v>543</v>
      </c>
      <c r="P78" s="303">
        <f>36</f>
        <v>36</v>
      </c>
      <c r="Q78" s="316" t="s">
        <v>454</v>
      </c>
      <c r="R78" s="275"/>
      <c r="S78" s="352" t="s">
        <v>875</v>
      </c>
      <c r="T78" s="350" t="s">
        <v>876</v>
      </c>
      <c r="U78" s="350" t="str">
        <f>IF(OR(C37="A7-50T",C37="A7-100T"),"0x1000e108 ","-")</f>
        <v xml:space="preserve">0x1000e108 </v>
      </c>
      <c r="V78" s="350" t="s">
        <v>872</v>
      </c>
      <c r="W78" s="353" t="str">
        <f>IF(D46="Ultra short","0x"&amp;DEC2HEX(MOD(J50,P49)),"-")</f>
        <v>-</v>
      </c>
      <c r="X78" s="841"/>
      <c r="Y78" s="275"/>
      <c r="Z78" s="275"/>
      <c r="AA78" s="275"/>
      <c r="AB78" s="275"/>
      <c r="AC78" s="275"/>
      <c r="AD78" s="275"/>
      <c r="AE78" s="275"/>
      <c r="AF78" s="275"/>
      <c r="AG78" s="275"/>
      <c r="AH78" s="275"/>
      <c r="AI78" s="275"/>
      <c r="AJ78" s="275"/>
      <c r="AK78" s="275"/>
      <c r="AL78" s="275"/>
      <c r="AM78" s="275"/>
      <c r="AN78" s="275"/>
      <c r="AO78" s="275"/>
      <c r="AP78" s="275"/>
      <c r="AQ78" s="275"/>
      <c r="AR78" s="275"/>
      <c r="AS78" s="275"/>
    </row>
    <row r="79" spans="1:45" ht="135" hidden="1">
      <c r="A79" s="274"/>
      <c r="B79" s="274"/>
      <c r="C79" s="274"/>
      <c r="D79" s="274"/>
      <c r="E79" s="274"/>
      <c r="F79" s="275"/>
      <c r="G79" s="275"/>
      <c r="H79" s="275"/>
      <c r="I79" s="275"/>
      <c r="J79" s="275"/>
      <c r="K79" s="275"/>
      <c r="L79" s="275"/>
      <c r="M79" s="288" t="s">
        <v>394</v>
      </c>
      <c r="N79" s="283" t="s">
        <v>877</v>
      </c>
      <c r="O79" s="289" t="s">
        <v>548</v>
      </c>
      <c r="P79" s="303">
        <v>10</v>
      </c>
      <c r="Q79" s="316" t="s">
        <v>454</v>
      </c>
      <c r="R79" s="275"/>
      <c r="S79" s="352" t="s">
        <v>878</v>
      </c>
      <c r="T79" s="350" t="s">
        <v>879</v>
      </c>
      <c r="U79" s="350" t="str">
        <f>IF(OR(C37="A7-50T",C37="A7-100T"),"0x1000e040 ","-")</f>
        <v xml:space="preserve">0x1000e040 </v>
      </c>
      <c r="V79" s="350" t="s">
        <v>880</v>
      </c>
      <c r="W79" s="353" t="str">
        <f>"0x"&amp;DEC2HEX(P49)</f>
        <v>0x2DC</v>
      </c>
      <c r="X79" s="351" t="s">
        <v>881</v>
      </c>
      <c r="Y79" s="275"/>
      <c r="Z79" s="275"/>
      <c r="AA79" s="275"/>
      <c r="AB79" s="275"/>
      <c r="AC79" s="275"/>
      <c r="AD79" s="275"/>
      <c r="AE79" s="275"/>
      <c r="AF79" s="275"/>
      <c r="AG79" s="275"/>
      <c r="AH79" s="275"/>
      <c r="AI79" s="275"/>
      <c r="AJ79" s="275"/>
      <c r="AK79" s="275"/>
      <c r="AL79" s="275"/>
      <c r="AM79" s="275"/>
      <c r="AN79" s="275"/>
      <c r="AO79" s="275"/>
      <c r="AP79" s="275"/>
      <c r="AQ79" s="275"/>
      <c r="AR79" s="275"/>
      <c r="AS79" s="275"/>
    </row>
    <row r="80" spans="1:45" ht="54" hidden="1">
      <c r="A80" s="274"/>
      <c r="B80" s="274"/>
      <c r="C80" s="274"/>
      <c r="D80" s="274"/>
      <c r="E80" s="274"/>
      <c r="F80" s="275"/>
      <c r="G80" s="275"/>
      <c r="H80" s="275"/>
      <c r="I80" s="275"/>
      <c r="J80" s="275"/>
      <c r="K80" s="275"/>
      <c r="L80" s="275"/>
      <c r="M80" s="305" t="s">
        <v>395</v>
      </c>
      <c r="N80" s="286" t="s">
        <v>882</v>
      </c>
      <c r="O80" s="286" t="s">
        <v>883</v>
      </c>
      <c r="P80" s="306">
        <v>48</v>
      </c>
      <c r="Q80" s="317" t="s">
        <v>454</v>
      </c>
      <c r="R80" s="275"/>
      <c r="S80" s="323"/>
      <c r="T80" s="275"/>
      <c r="U80" s="275"/>
      <c r="V80" s="275"/>
      <c r="W80" s="275"/>
      <c r="X80" s="275"/>
      <c r="Y80" s="275"/>
      <c r="Z80" s="275"/>
      <c r="AA80" s="275"/>
      <c r="AB80" s="275"/>
      <c r="AC80" s="275"/>
      <c r="AD80" s="275"/>
      <c r="AE80" s="275"/>
      <c r="AF80" s="275"/>
      <c r="AG80" s="275"/>
      <c r="AH80" s="275"/>
      <c r="AI80" s="275"/>
      <c r="AJ80" s="275"/>
      <c r="AK80" s="275"/>
      <c r="AL80" s="275"/>
      <c r="AM80" s="275"/>
      <c r="AN80" s="275"/>
      <c r="AO80" s="275"/>
      <c r="AP80" s="275"/>
      <c r="AQ80" s="275"/>
      <c r="AR80" s="275"/>
      <c r="AS80" s="275"/>
    </row>
    <row r="81" spans="1:45" ht="94.5" hidden="1">
      <c r="A81" s="275"/>
      <c r="B81" s="275"/>
      <c r="C81" s="275"/>
      <c r="D81" s="275"/>
      <c r="E81" s="275"/>
      <c r="F81" s="275"/>
      <c r="G81" s="275"/>
      <c r="H81" s="275"/>
      <c r="I81" s="275"/>
      <c r="J81" s="275"/>
      <c r="K81" s="275"/>
      <c r="L81" s="275"/>
      <c r="M81" s="282" t="s">
        <v>337</v>
      </c>
      <c r="N81" s="283" t="s">
        <v>884</v>
      </c>
      <c r="O81" s="283" t="s">
        <v>885</v>
      </c>
      <c r="P81" s="304">
        <f>D58*D59*IF(D42=8,1,2)</f>
        <v>12582912</v>
      </c>
      <c r="Q81" s="316" t="s">
        <v>454</v>
      </c>
      <c r="R81" s="275"/>
      <c r="S81" s="323"/>
      <c r="T81" s="275"/>
      <c r="U81" s="275"/>
      <c r="V81" s="275"/>
      <c r="W81" s="275"/>
      <c r="X81" s="275"/>
      <c r="Y81" s="275"/>
      <c r="Z81" s="275"/>
      <c r="AA81" s="275"/>
      <c r="AB81" s="275"/>
      <c r="AC81" s="275"/>
      <c r="AD81" s="275"/>
      <c r="AE81" s="275"/>
      <c r="AF81" s="275"/>
      <c r="AG81" s="275"/>
      <c r="AH81" s="275"/>
      <c r="AI81" s="275"/>
      <c r="AJ81" s="275"/>
      <c r="AK81" s="275"/>
      <c r="AL81" s="275"/>
      <c r="AM81" s="275"/>
      <c r="AN81" s="275"/>
      <c r="AO81" s="275"/>
      <c r="AP81" s="275"/>
      <c r="AQ81" s="275"/>
      <c r="AR81" s="275"/>
      <c r="AS81" s="275"/>
    </row>
    <row r="82" spans="1:45" ht="54" hidden="1">
      <c r="A82" s="275"/>
      <c r="B82" s="275"/>
      <c r="C82" s="275"/>
      <c r="D82" s="275"/>
      <c r="E82" s="275"/>
      <c r="F82" s="275"/>
      <c r="G82" s="275"/>
      <c r="H82" s="275"/>
      <c r="I82" s="275"/>
      <c r="J82" s="275"/>
      <c r="K82" s="275"/>
      <c r="L82" s="275"/>
      <c r="M82" s="288" t="s">
        <v>339</v>
      </c>
      <c r="N82" s="283" t="s">
        <v>886</v>
      </c>
      <c r="O82" s="283" t="s">
        <v>887</v>
      </c>
      <c r="P82" s="306">
        <f>P81+P80*D61</f>
        <v>12582912</v>
      </c>
      <c r="Q82" s="316" t="s">
        <v>454</v>
      </c>
      <c r="R82" s="275"/>
      <c r="S82" s="323"/>
      <c r="T82" s="275"/>
      <c r="U82" s="275"/>
      <c r="V82" s="275"/>
      <c r="W82" s="275"/>
      <c r="X82" s="275"/>
      <c r="Y82" s="275"/>
      <c r="Z82" s="275"/>
      <c r="AA82" s="275"/>
      <c r="AB82" s="275"/>
      <c r="AC82" s="275"/>
      <c r="AD82" s="275"/>
      <c r="AE82" s="275"/>
      <c r="AF82" s="275"/>
      <c r="AG82" s="275"/>
      <c r="AH82" s="275"/>
      <c r="AI82" s="275"/>
      <c r="AJ82" s="275"/>
      <c r="AK82" s="275"/>
      <c r="AL82" s="275"/>
      <c r="AM82" s="275"/>
      <c r="AN82" s="275"/>
      <c r="AO82" s="275"/>
      <c r="AP82" s="275"/>
      <c r="AQ82" s="275"/>
      <c r="AR82" s="275"/>
      <c r="AS82" s="275"/>
    </row>
    <row r="83" spans="1:45" ht="108" hidden="1">
      <c r="A83" s="275"/>
      <c r="B83" s="275"/>
      <c r="C83" s="275"/>
      <c r="D83" s="275"/>
      <c r="E83" s="275"/>
      <c r="F83" s="275"/>
      <c r="G83" s="275"/>
      <c r="H83" s="275"/>
      <c r="I83" s="275"/>
      <c r="J83" s="275"/>
      <c r="K83" s="275"/>
      <c r="L83" s="275"/>
      <c r="M83" s="288" t="s">
        <v>347</v>
      </c>
      <c r="N83" s="283" t="s">
        <v>346</v>
      </c>
      <c r="O83" s="289" t="s">
        <v>570</v>
      </c>
      <c r="P83" s="341">
        <f>INT(P82/(D64-P73))</f>
        <v>8594</v>
      </c>
      <c r="Q83" s="316"/>
      <c r="R83" s="275"/>
      <c r="S83" s="323"/>
      <c r="T83" s="275"/>
      <c r="U83" s="275"/>
      <c r="V83" s="275"/>
      <c r="W83" s="275"/>
      <c r="X83" s="275"/>
      <c r="Y83" s="275"/>
      <c r="Z83" s="275"/>
      <c r="AA83" s="275"/>
      <c r="AB83" s="275"/>
      <c r="AC83" s="275"/>
      <c r="AD83" s="275"/>
      <c r="AE83" s="275"/>
      <c r="AF83" s="275"/>
      <c r="AG83" s="275"/>
      <c r="AH83" s="275"/>
      <c r="AI83" s="275"/>
      <c r="AJ83" s="275"/>
      <c r="AK83" s="275"/>
      <c r="AL83" s="275"/>
      <c r="AM83" s="275"/>
      <c r="AN83" s="275"/>
      <c r="AO83" s="275"/>
      <c r="AP83" s="275"/>
      <c r="AQ83" s="275"/>
      <c r="AR83" s="275"/>
      <c r="AS83" s="275"/>
    </row>
    <row r="84" spans="1:45" ht="148.5" hidden="1">
      <c r="A84" s="275"/>
      <c r="B84" s="275"/>
      <c r="C84" s="275"/>
      <c r="D84" s="275"/>
      <c r="E84" s="275"/>
      <c r="F84" s="275"/>
      <c r="G84" s="275"/>
      <c r="H84" s="275"/>
      <c r="I84" s="275"/>
      <c r="J84" s="275"/>
      <c r="K84" s="275"/>
      <c r="L84" s="275"/>
      <c r="M84" s="288" t="s">
        <v>349</v>
      </c>
      <c r="N84" s="283" t="s">
        <v>888</v>
      </c>
      <c r="O84" s="289" t="s">
        <v>577</v>
      </c>
      <c r="P84" s="341">
        <f>P82-(D64-P73)*P83</f>
        <v>1296</v>
      </c>
      <c r="Q84" s="316" t="s">
        <v>454</v>
      </c>
      <c r="R84" s="275"/>
      <c r="S84" s="323"/>
      <c r="T84" s="275"/>
      <c r="U84" s="275"/>
      <c r="V84" s="275"/>
      <c r="W84" s="275"/>
      <c r="X84" s="275"/>
      <c r="Y84" s="275"/>
      <c r="Z84" s="275"/>
      <c r="AA84" s="275"/>
      <c r="AB84" s="275"/>
      <c r="AC84" s="275"/>
      <c r="AD84" s="275"/>
      <c r="AE84" s="275"/>
      <c r="AF84" s="275"/>
      <c r="AG84" s="275"/>
      <c r="AH84" s="275"/>
      <c r="AI84" s="275"/>
      <c r="AJ84" s="275"/>
      <c r="AK84" s="275"/>
      <c r="AL84" s="275"/>
      <c r="AM84" s="275"/>
      <c r="AN84" s="275"/>
      <c r="AO84" s="275"/>
      <c r="AP84" s="275"/>
      <c r="AQ84" s="275"/>
      <c r="AR84" s="275"/>
      <c r="AS84" s="275"/>
    </row>
    <row r="85" spans="1:45" ht="67.5" hidden="1">
      <c r="A85" s="275"/>
      <c r="B85" s="275"/>
      <c r="C85" s="275"/>
      <c r="D85" s="275"/>
      <c r="E85" s="275"/>
      <c r="F85" s="275"/>
      <c r="G85" s="275"/>
      <c r="H85" s="275"/>
      <c r="I85" s="275"/>
      <c r="J85" s="275"/>
      <c r="K85" s="275"/>
      <c r="L85" s="275"/>
      <c r="M85" s="288" t="s">
        <v>348</v>
      </c>
      <c r="N85" s="283" t="s">
        <v>245</v>
      </c>
      <c r="O85" s="289" t="s">
        <v>580</v>
      </c>
      <c r="P85" s="303">
        <f>IF(MOD(P81,(D64-P73))=0,0,1)</f>
        <v>1</v>
      </c>
      <c r="Q85" s="316"/>
      <c r="R85" s="275"/>
      <c r="S85" s="275"/>
      <c r="T85" s="275"/>
      <c r="U85" s="275"/>
      <c r="V85" s="275"/>
      <c r="W85" s="275"/>
      <c r="X85" s="275"/>
      <c r="Y85" s="275"/>
      <c r="Z85" s="275"/>
      <c r="AA85" s="275"/>
      <c r="AB85" s="275"/>
      <c r="AC85" s="275"/>
      <c r="AD85" s="275"/>
      <c r="AE85" s="275"/>
      <c r="AF85" s="275"/>
      <c r="AG85" s="275"/>
      <c r="AH85" s="275"/>
      <c r="AI85" s="275"/>
      <c r="AJ85" s="275"/>
      <c r="AK85" s="275"/>
      <c r="AL85" s="275"/>
      <c r="AM85" s="275"/>
      <c r="AN85" s="275"/>
      <c r="AO85" s="275"/>
      <c r="AP85" s="275"/>
      <c r="AQ85" s="275"/>
      <c r="AR85" s="275"/>
      <c r="AS85" s="275"/>
    </row>
    <row r="86" spans="1:45" ht="175.5" hidden="1">
      <c r="A86" s="275"/>
      <c r="B86" s="275"/>
      <c r="C86" s="275"/>
      <c r="D86" s="275"/>
      <c r="E86" s="275"/>
      <c r="F86" s="275"/>
      <c r="G86" s="275"/>
      <c r="H86" s="275"/>
      <c r="I86" s="275"/>
      <c r="J86" s="275"/>
      <c r="K86" s="275"/>
      <c r="L86" s="275"/>
      <c r="M86" s="288" t="s">
        <v>351</v>
      </c>
      <c r="N86" s="283" t="s">
        <v>889</v>
      </c>
      <c r="O86" s="289" t="s">
        <v>584</v>
      </c>
      <c r="P86" s="341">
        <f>IF(P84&lt;P75,P75,P84)</f>
        <v>1296</v>
      </c>
      <c r="Q86" s="316" t="s">
        <v>454</v>
      </c>
      <c r="R86" s="275"/>
      <c r="S86" s="275"/>
      <c r="T86" s="275"/>
      <c r="U86" s="275"/>
      <c r="V86" s="275"/>
      <c r="W86" s="275"/>
      <c r="X86" s="275"/>
      <c r="Y86" s="275"/>
      <c r="Z86" s="275"/>
      <c r="AA86" s="275"/>
      <c r="AB86" s="275"/>
      <c r="AC86" s="275"/>
      <c r="AD86" s="275"/>
      <c r="AE86" s="275"/>
      <c r="AF86" s="275"/>
      <c r="AG86" s="275"/>
      <c r="AH86" s="275"/>
      <c r="AI86" s="275"/>
      <c r="AJ86" s="275"/>
      <c r="AK86" s="275"/>
      <c r="AL86" s="275"/>
      <c r="AM86" s="275"/>
      <c r="AN86" s="275"/>
      <c r="AO86" s="275"/>
      <c r="AP86" s="275"/>
      <c r="AQ86" s="275"/>
      <c r="AR86" s="275"/>
      <c r="AS86" s="275"/>
    </row>
    <row r="87" spans="1:45" ht="81" hidden="1">
      <c r="A87" s="275"/>
      <c r="B87" s="275"/>
      <c r="C87" s="275"/>
      <c r="D87" s="275"/>
      <c r="E87" s="275"/>
      <c r="F87" s="275"/>
      <c r="G87" s="275"/>
      <c r="H87" s="275"/>
      <c r="I87" s="275"/>
      <c r="J87" s="275"/>
      <c r="K87" s="275"/>
      <c r="L87" s="275"/>
      <c r="M87" s="288" t="s">
        <v>353</v>
      </c>
      <c r="N87" s="283" t="s">
        <v>890</v>
      </c>
      <c r="O87" s="289" t="s">
        <v>586</v>
      </c>
      <c r="P87" s="341">
        <f>P74+P73+P78</f>
        <v>98</v>
      </c>
      <c r="Q87" s="316" t="s">
        <v>454</v>
      </c>
      <c r="R87" s="275"/>
      <c r="S87" s="275"/>
      <c r="T87" s="275"/>
      <c r="U87" s="275"/>
      <c r="V87" s="275"/>
      <c r="W87" s="275"/>
      <c r="X87" s="275"/>
      <c r="Y87" s="275"/>
      <c r="Z87" s="275"/>
      <c r="AA87" s="275"/>
      <c r="AB87" s="275"/>
      <c r="AC87" s="275"/>
      <c r="AD87" s="275"/>
      <c r="AE87" s="275"/>
      <c r="AF87" s="275"/>
      <c r="AG87" s="275"/>
      <c r="AH87" s="275"/>
      <c r="AI87" s="275"/>
      <c r="AJ87" s="275"/>
      <c r="AK87" s="275"/>
      <c r="AL87" s="275"/>
      <c r="AM87" s="275"/>
      <c r="AN87" s="275"/>
      <c r="AO87" s="275"/>
      <c r="AP87" s="275"/>
      <c r="AQ87" s="275"/>
      <c r="AR87" s="275"/>
      <c r="AS87" s="275"/>
    </row>
    <row r="88" spans="1:45" ht="94.5" hidden="1">
      <c r="A88" s="275"/>
      <c r="B88" s="275"/>
      <c r="C88" s="275"/>
      <c r="D88" s="275"/>
      <c r="E88" s="275"/>
      <c r="F88" s="275"/>
      <c r="G88" s="275"/>
      <c r="H88" s="275"/>
      <c r="I88" s="275"/>
      <c r="J88" s="275"/>
      <c r="K88" s="275"/>
      <c r="L88" s="275"/>
      <c r="M88" s="288" t="s">
        <v>355</v>
      </c>
      <c r="N88" s="283" t="s">
        <v>891</v>
      </c>
      <c r="O88" s="289" t="s">
        <v>892</v>
      </c>
      <c r="P88" s="341">
        <f>P74+P73+P79</f>
        <v>72</v>
      </c>
      <c r="Q88" s="316" t="s">
        <v>454</v>
      </c>
      <c r="R88" s="275"/>
      <c r="S88" s="275"/>
      <c r="T88" s="275"/>
      <c r="U88" s="275"/>
      <c r="V88" s="275"/>
      <c r="W88" s="275"/>
      <c r="X88" s="275"/>
      <c r="Y88" s="275"/>
      <c r="Z88" s="275"/>
      <c r="AA88" s="275"/>
      <c r="AB88" s="275"/>
      <c r="AC88" s="275"/>
      <c r="AD88" s="275"/>
      <c r="AE88" s="275"/>
      <c r="AF88" s="275"/>
      <c r="AG88" s="275"/>
      <c r="AH88" s="275"/>
      <c r="AI88" s="275"/>
      <c r="AJ88" s="275"/>
      <c r="AK88" s="275"/>
      <c r="AL88" s="275"/>
      <c r="AM88" s="275"/>
      <c r="AN88" s="275"/>
      <c r="AO88" s="275"/>
      <c r="AP88" s="275"/>
      <c r="AQ88" s="275"/>
      <c r="AR88" s="275"/>
      <c r="AS88" s="275"/>
    </row>
    <row r="89" spans="1:45" ht="243" hidden="1">
      <c r="A89" s="275"/>
      <c r="B89" s="275"/>
      <c r="C89" s="275"/>
      <c r="D89" s="275"/>
      <c r="E89" s="275"/>
      <c r="F89" s="275"/>
      <c r="G89" s="275"/>
      <c r="H89" s="275"/>
      <c r="I89" s="275"/>
      <c r="J89" s="275"/>
      <c r="K89" s="275"/>
      <c r="L89" s="275"/>
      <c r="M89" s="288" t="s">
        <v>357</v>
      </c>
      <c r="N89" s="283" t="s">
        <v>246</v>
      </c>
      <c r="O89" s="289" t="s">
        <v>893</v>
      </c>
      <c r="P89" s="341">
        <f>P83*(D64+P74)+P85*(P86+P74+P73)</f>
        <v>13115802</v>
      </c>
      <c r="Q89" s="316" t="s">
        <v>454</v>
      </c>
      <c r="R89" s="275"/>
      <c r="S89" s="275"/>
      <c r="T89" s="275"/>
      <c r="U89" s="275"/>
      <c r="V89" s="275"/>
      <c r="W89" s="275"/>
      <c r="X89" s="275"/>
      <c r="Y89" s="275"/>
      <c r="Z89" s="275"/>
      <c r="AA89" s="275"/>
      <c r="AB89" s="275"/>
      <c r="AC89" s="275"/>
      <c r="AD89" s="275"/>
      <c r="AE89" s="275"/>
      <c r="AF89" s="275"/>
      <c r="AG89" s="275"/>
      <c r="AH89" s="275"/>
      <c r="AI89" s="275"/>
      <c r="AJ89" s="275"/>
      <c r="AK89" s="275"/>
      <c r="AL89" s="275"/>
      <c r="AM89" s="275"/>
      <c r="AN89" s="275"/>
      <c r="AO89" s="275"/>
      <c r="AP89" s="275"/>
      <c r="AQ89" s="275"/>
      <c r="AR89" s="275"/>
      <c r="AS89" s="275"/>
    </row>
    <row r="90" spans="1:45" ht="162" hidden="1">
      <c r="A90" s="275"/>
      <c r="B90" s="275"/>
      <c r="C90" s="275"/>
      <c r="D90" s="275"/>
      <c r="E90" s="275"/>
      <c r="F90" s="275"/>
      <c r="G90" s="275"/>
      <c r="H90" s="275"/>
      <c r="I90" s="275"/>
      <c r="J90" s="275"/>
      <c r="K90" s="275"/>
      <c r="L90" s="275"/>
      <c r="M90" s="282" t="s">
        <v>358</v>
      </c>
      <c r="N90" s="283" t="s">
        <v>894</v>
      </c>
      <c r="O90" s="283" t="s">
        <v>895</v>
      </c>
      <c r="P90" s="342">
        <f>(2+P85+P83)*(P72+D65)</f>
        <v>103164</v>
      </c>
      <c r="Q90" s="302" t="s">
        <v>454</v>
      </c>
      <c r="R90" s="275"/>
      <c r="S90" s="275"/>
      <c r="T90" s="275"/>
      <c r="U90" s="275"/>
      <c r="V90" s="275"/>
      <c r="W90" s="275"/>
      <c r="X90" s="275"/>
      <c r="Y90" s="275"/>
      <c r="Z90" s="275"/>
      <c r="AA90" s="275"/>
      <c r="AB90" s="275"/>
      <c r="AC90" s="275"/>
      <c r="AD90" s="275"/>
      <c r="AE90" s="275"/>
      <c r="AF90" s="275"/>
      <c r="AG90" s="275"/>
      <c r="AH90" s="275"/>
      <c r="AI90" s="275"/>
      <c r="AJ90" s="275"/>
      <c r="AK90" s="275"/>
      <c r="AL90" s="275"/>
      <c r="AM90" s="275"/>
      <c r="AN90" s="275"/>
      <c r="AO90" s="275"/>
      <c r="AP90" s="275"/>
      <c r="AQ90" s="275"/>
      <c r="AR90" s="275"/>
      <c r="AS90" s="275"/>
    </row>
    <row r="91" spans="1:45" ht="121.5" hidden="1">
      <c r="A91" s="275"/>
      <c r="B91" s="275"/>
      <c r="C91" s="275"/>
      <c r="D91" s="275"/>
      <c r="E91" s="275"/>
      <c r="F91" s="275"/>
      <c r="G91" s="275"/>
      <c r="H91" s="275"/>
      <c r="I91" s="275"/>
      <c r="J91" s="275"/>
      <c r="K91" s="275"/>
      <c r="L91" s="275"/>
      <c r="M91" s="282" t="s">
        <v>359</v>
      </c>
      <c r="N91" s="283" t="s">
        <v>896</v>
      </c>
      <c r="O91" s="283" t="s">
        <v>607</v>
      </c>
      <c r="P91" s="304">
        <f>P87+P88+P89+P90</f>
        <v>13219136</v>
      </c>
      <c r="Q91" s="302" t="s">
        <v>454</v>
      </c>
      <c r="R91" s="275"/>
      <c r="S91" s="275"/>
      <c r="T91" s="275"/>
      <c r="U91" s="275"/>
      <c r="V91" s="275"/>
      <c r="W91" s="275"/>
      <c r="X91" s="275"/>
      <c r="Y91" s="275"/>
      <c r="Z91" s="275"/>
      <c r="AA91" s="275"/>
      <c r="AB91" s="275"/>
      <c r="AC91" s="275"/>
      <c r="AD91" s="275"/>
      <c r="AE91" s="275"/>
      <c r="AF91" s="275"/>
      <c r="AG91" s="275"/>
      <c r="AH91" s="275"/>
      <c r="AI91" s="275"/>
      <c r="AJ91" s="275"/>
      <c r="AK91" s="275"/>
      <c r="AL91" s="275"/>
      <c r="AM91" s="275"/>
      <c r="AN91" s="275"/>
      <c r="AO91" s="275"/>
      <c r="AP91" s="275"/>
      <c r="AQ91" s="275"/>
      <c r="AR91" s="275"/>
      <c r="AS91" s="275"/>
    </row>
    <row r="92" spans="1:45" ht="94.5" hidden="1">
      <c r="A92" s="275"/>
      <c r="B92" s="275"/>
      <c r="C92" s="275"/>
      <c r="D92" s="275"/>
      <c r="E92" s="275"/>
      <c r="F92" s="275"/>
      <c r="G92" s="275"/>
      <c r="H92" s="275"/>
      <c r="I92" s="275"/>
      <c r="J92" s="275"/>
      <c r="K92" s="275"/>
      <c r="L92" s="275"/>
      <c r="M92" s="282" t="s">
        <v>361</v>
      </c>
      <c r="N92" s="283" t="s">
        <v>360</v>
      </c>
      <c r="O92" s="283" t="s">
        <v>897</v>
      </c>
      <c r="P92" s="304">
        <f>INT(1000000*D63*(100-D66)/80)</f>
        <v>1125000000</v>
      </c>
      <c r="Q92" s="302" t="s">
        <v>898</v>
      </c>
      <c r="R92" s="839" t="s">
        <v>899</v>
      </c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5"/>
      <c r="AH92" s="275"/>
      <c r="AI92" s="275"/>
      <c r="AJ92" s="275"/>
      <c r="AK92" s="275"/>
      <c r="AL92" s="275"/>
      <c r="AM92" s="275"/>
      <c r="AN92" s="275"/>
      <c r="AO92" s="275"/>
      <c r="AP92" s="275"/>
      <c r="AQ92" s="275"/>
      <c r="AR92" s="275"/>
      <c r="AS92" s="275"/>
    </row>
    <row r="93" spans="1:45" ht="243" hidden="1">
      <c r="A93" s="275"/>
      <c r="B93" s="275"/>
      <c r="C93" s="275"/>
      <c r="D93" s="275"/>
      <c r="E93" s="275"/>
      <c r="F93" s="275"/>
      <c r="G93" s="275"/>
      <c r="H93" s="275"/>
      <c r="I93" s="275"/>
      <c r="J93" s="275"/>
      <c r="K93" s="275"/>
      <c r="L93" s="275"/>
      <c r="M93" s="343" t="s">
        <v>363</v>
      </c>
      <c r="N93" s="310" t="s">
        <v>362</v>
      </c>
      <c r="O93" s="310" t="s">
        <v>900</v>
      </c>
      <c r="P93" s="311">
        <f>IF(D46="Ultra Short",ROUNDUP(P91*1000000/P92,0)*10,ROUNDUP(ROUNDUP(P91*1000000000/P92,0)*10/J41,0))</f>
        <v>10274</v>
      </c>
      <c r="Q93" s="332" t="str">
        <f>IF(D46="Ultra Short","us","line")</f>
        <v>line</v>
      </c>
      <c r="R93" s="839"/>
      <c r="S93" s="275"/>
      <c r="T93" s="275"/>
      <c r="U93" s="275"/>
      <c r="V93" s="275"/>
      <c r="W93" s="275"/>
      <c r="X93" s="275"/>
      <c r="Y93" s="275"/>
      <c r="Z93" s="275"/>
      <c r="AA93" s="275"/>
      <c r="AB93" s="275"/>
      <c r="AC93" s="275"/>
      <c r="AD93" s="275"/>
      <c r="AE93" s="275"/>
      <c r="AF93" s="275"/>
      <c r="AG93" s="275"/>
      <c r="AH93" s="275"/>
      <c r="AI93" s="275"/>
      <c r="AJ93" s="275"/>
      <c r="AK93" s="275"/>
      <c r="AL93" s="275"/>
      <c r="AM93" s="275"/>
      <c r="AN93" s="275"/>
      <c r="AO93" s="275"/>
      <c r="AP93" s="275"/>
      <c r="AQ93" s="275"/>
      <c r="AR93" s="275"/>
      <c r="AS93" s="275"/>
    </row>
    <row r="94" spans="1:45" ht="121.5" hidden="1">
      <c r="A94" s="275"/>
      <c r="B94" s="275"/>
      <c r="C94" s="275"/>
      <c r="D94" s="275"/>
      <c r="E94" s="275"/>
      <c r="F94" s="275"/>
      <c r="G94" s="275"/>
      <c r="H94" s="275"/>
      <c r="I94" s="275"/>
      <c r="J94" s="275"/>
      <c r="K94" s="275"/>
      <c r="L94" s="275"/>
      <c r="M94" s="282" t="s">
        <v>901</v>
      </c>
      <c r="N94" s="283" t="s">
        <v>902</v>
      </c>
      <c r="O94" s="283" t="s">
        <v>903</v>
      </c>
      <c r="P94" s="304">
        <f>INT(1000000*D63*(100)/80)</f>
        <v>1250000000</v>
      </c>
      <c r="Q94" s="302" t="s">
        <v>898</v>
      </c>
      <c r="R94" s="275"/>
      <c r="S94" s="275"/>
      <c r="T94" s="275"/>
      <c r="U94" s="275"/>
      <c r="V94" s="275"/>
      <c r="W94" s="275"/>
      <c r="X94" s="275"/>
      <c r="Y94" s="275"/>
      <c r="Z94" s="275"/>
      <c r="AA94" s="275"/>
      <c r="AB94" s="275"/>
      <c r="AC94" s="275"/>
      <c r="AD94" s="275"/>
      <c r="AE94" s="275"/>
      <c r="AF94" s="275"/>
      <c r="AG94" s="275"/>
      <c r="AH94" s="275"/>
      <c r="AI94" s="275"/>
      <c r="AJ94" s="275"/>
      <c r="AK94" s="275"/>
      <c r="AL94" s="275"/>
      <c r="AM94" s="275"/>
      <c r="AN94" s="275"/>
      <c r="AO94" s="275"/>
      <c r="AP94" s="275"/>
      <c r="AQ94" s="275"/>
      <c r="AR94" s="275"/>
      <c r="AS94" s="275"/>
    </row>
    <row r="95" spans="1:45" ht="243" hidden="1">
      <c r="A95" s="275"/>
      <c r="B95" s="275"/>
      <c r="C95" s="275"/>
      <c r="D95" s="275"/>
      <c r="E95" s="275"/>
      <c r="F95" s="275"/>
      <c r="G95" s="275"/>
      <c r="H95" s="275"/>
      <c r="I95" s="275"/>
      <c r="J95" s="275"/>
      <c r="K95" s="275"/>
      <c r="L95" s="275"/>
      <c r="M95" s="343" t="s">
        <v>904</v>
      </c>
      <c r="N95" s="310" t="s">
        <v>905</v>
      </c>
      <c r="O95" s="310" t="s">
        <v>900</v>
      </c>
      <c r="P95" s="311">
        <f>IF(D46="Ultra Short",ROUNDUP(P91*1000000/P94,0)*10,ROUNDUP(ROUNDUP(P91*1000000000/P94,0)*10/J41,0))</f>
        <v>9246</v>
      </c>
      <c r="Q95" s="332" t="str">
        <f>IF(D48="Ultra Short","us","line")</f>
        <v>line</v>
      </c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5"/>
      <c r="AH95" s="275"/>
      <c r="AI95" s="275"/>
      <c r="AJ95" s="275"/>
      <c r="AK95" s="275"/>
      <c r="AL95" s="275"/>
      <c r="AM95" s="275"/>
      <c r="AN95" s="275"/>
      <c r="AO95" s="275"/>
      <c r="AP95" s="275"/>
      <c r="AQ95" s="275"/>
      <c r="AR95" s="275"/>
      <c r="AS95" s="275"/>
    </row>
    <row r="96" spans="1:45" hidden="1">
      <c r="A96" s="275"/>
      <c r="B96" s="275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5"/>
      <c r="AH96" s="275"/>
      <c r="AI96" s="275"/>
      <c r="AJ96" s="275"/>
      <c r="AK96" s="275"/>
      <c r="AL96" s="275"/>
      <c r="AM96" s="275"/>
      <c r="AN96" s="275"/>
      <c r="AO96" s="275"/>
      <c r="AP96" s="275"/>
      <c r="AQ96" s="275"/>
      <c r="AR96" s="275"/>
      <c r="AS96" s="275"/>
    </row>
    <row r="97" spans="1:45" hidden="1">
      <c r="A97" s="275"/>
      <c r="B97" s="275"/>
      <c r="C97" s="275"/>
      <c r="D97" s="275"/>
      <c r="E97" s="275"/>
      <c r="F97" s="275"/>
      <c r="G97" s="275"/>
      <c r="H97" s="275"/>
      <c r="I97" s="275"/>
      <c r="J97" s="275"/>
      <c r="K97" s="275"/>
      <c r="L97" s="275"/>
      <c r="M97" s="274"/>
      <c r="N97" s="274"/>
      <c r="O97" s="274"/>
      <c r="P97" s="274"/>
      <c r="Q97" s="274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5"/>
      <c r="AH97" s="275"/>
      <c r="AI97" s="275"/>
      <c r="AJ97" s="275"/>
      <c r="AK97" s="275"/>
      <c r="AL97" s="275"/>
      <c r="AM97" s="275"/>
      <c r="AN97" s="275"/>
      <c r="AO97" s="275"/>
      <c r="AP97" s="275"/>
      <c r="AQ97" s="275"/>
      <c r="AR97" s="275"/>
      <c r="AS97" s="275"/>
    </row>
    <row r="98" spans="1:45" hidden="1">
      <c r="A98" s="275"/>
      <c r="B98" s="275"/>
      <c r="C98" s="275"/>
      <c r="D98" s="275"/>
      <c r="E98" s="275"/>
      <c r="F98" s="275"/>
      <c r="G98" s="275"/>
      <c r="H98" s="275"/>
      <c r="I98" s="275"/>
      <c r="J98" s="275"/>
      <c r="K98" s="275"/>
      <c r="L98" s="275"/>
      <c r="M98" s="274"/>
      <c r="N98" s="274"/>
      <c r="O98" s="274"/>
      <c r="P98" s="274"/>
      <c r="Q98" s="274"/>
      <c r="R98" s="275"/>
      <c r="S98" s="275"/>
      <c r="T98" s="275"/>
      <c r="U98" s="275"/>
      <c r="V98" s="275"/>
      <c r="W98" s="275"/>
      <c r="X98" s="275"/>
      <c r="Y98" s="275"/>
      <c r="Z98" s="275"/>
      <c r="AA98" s="275"/>
      <c r="AB98" s="275"/>
      <c r="AC98" s="275"/>
      <c r="AD98" s="275"/>
      <c r="AE98" s="275"/>
      <c r="AF98" s="275"/>
      <c r="AG98" s="275"/>
      <c r="AH98" s="275"/>
      <c r="AI98" s="275"/>
      <c r="AJ98" s="275"/>
      <c r="AK98" s="275"/>
      <c r="AL98" s="275"/>
      <c r="AM98" s="275"/>
      <c r="AN98" s="275"/>
      <c r="AO98" s="275"/>
      <c r="AP98" s="275"/>
      <c r="AQ98" s="275"/>
      <c r="AR98" s="275"/>
      <c r="AS98" s="275"/>
    </row>
    <row r="99" spans="1:45" hidden="1">
      <c r="A99" s="275"/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4"/>
      <c r="N99" s="274"/>
      <c r="O99" s="274"/>
      <c r="P99" s="274"/>
      <c r="Q99" s="274"/>
      <c r="R99" s="275"/>
      <c r="S99" s="275"/>
      <c r="T99" s="275"/>
      <c r="U99" s="275"/>
      <c r="V99" s="275"/>
      <c r="W99" s="275"/>
      <c r="X99" s="275"/>
      <c r="Y99" s="275"/>
      <c r="Z99" s="275"/>
      <c r="AA99" s="275"/>
      <c r="AB99" s="275"/>
      <c r="AC99" s="275"/>
      <c r="AD99" s="275"/>
      <c r="AE99" s="275"/>
      <c r="AF99" s="275"/>
      <c r="AG99" s="275"/>
      <c r="AH99" s="275"/>
      <c r="AI99" s="275"/>
      <c r="AJ99" s="275"/>
      <c r="AK99" s="275"/>
      <c r="AL99" s="275"/>
      <c r="AM99" s="275"/>
      <c r="AN99" s="275"/>
      <c r="AO99" s="275"/>
      <c r="AP99" s="275"/>
      <c r="AQ99" s="275"/>
      <c r="AR99" s="275"/>
      <c r="AS99" s="275"/>
    </row>
    <row r="100" spans="1:45" hidden="1">
      <c r="A100" s="275"/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M100" s="274"/>
      <c r="N100" s="274"/>
      <c r="O100" s="274"/>
      <c r="P100" s="274"/>
      <c r="Q100" s="274"/>
      <c r="R100" s="275"/>
      <c r="S100" s="275"/>
      <c r="T100" s="275"/>
      <c r="U100" s="275"/>
      <c r="V100" s="275"/>
      <c r="W100" s="275"/>
      <c r="X100" s="275"/>
      <c r="Y100" s="275"/>
      <c r="Z100" s="275"/>
      <c r="AA100" s="275"/>
      <c r="AB100" s="275"/>
      <c r="AC100" s="275"/>
      <c r="AD100" s="275"/>
      <c r="AE100" s="275"/>
      <c r="AF100" s="275"/>
      <c r="AG100" s="275"/>
      <c r="AH100" s="275"/>
      <c r="AI100" s="275"/>
      <c r="AJ100" s="275"/>
      <c r="AK100" s="275"/>
      <c r="AL100" s="275"/>
      <c r="AM100" s="275"/>
      <c r="AN100" s="275"/>
      <c r="AO100" s="275"/>
      <c r="AP100" s="275"/>
      <c r="AQ100" s="275"/>
      <c r="AR100" s="275"/>
      <c r="AS100" s="275"/>
    </row>
    <row r="101" spans="1:45" hidden="1">
      <c r="A101" s="275"/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4"/>
      <c r="N101" s="274"/>
      <c r="O101" s="274"/>
      <c r="P101" s="274"/>
      <c r="Q101" s="274"/>
      <c r="R101" s="275"/>
      <c r="S101" s="275"/>
      <c r="T101" s="275"/>
      <c r="U101" s="275"/>
      <c r="V101" s="275"/>
      <c r="W101" s="275"/>
      <c r="X101" s="275"/>
      <c r="Y101" s="275"/>
      <c r="Z101" s="275"/>
      <c r="AA101" s="275"/>
      <c r="AB101" s="275"/>
      <c r="AC101" s="275"/>
      <c r="AD101" s="275"/>
      <c r="AE101" s="275"/>
      <c r="AF101" s="275"/>
      <c r="AG101" s="275"/>
      <c r="AH101" s="275"/>
      <c r="AI101" s="275"/>
      <c r="AJ101" s="275"/>
      <c r="AK101" s="275"/>
      <c r="AL101" s="275"/>
      <c r="AM101" s="275"/>
      <c r="AN101" s="275"/>
      <c r="AO101" s="275"/>
      <c r="AP101" s="275"/>
      <c r="AQ101" s="275"/>
      <c r="AR101" s="275"/>
      <c r="AS101" s="275"/>
    </row>
    <row r="102" spans="1:45" hidden="1">
      <c r="A102" s="275"/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M102" s="274"/>
      <c r="N102" s="274"/>
      <c r="O102" s="274"/>
      <c r="P102" s="274"/>
      <c r="Q102" s="274"/>
      <c r="R102" s="275"/>
      <c r="S102" s="275"/>
      <c r="T102" s="275"/>
      <c r="U102" s="275"/>
      <c r="V102" s="275"/>
      <c r="W102" s="275"/>
      <c r="X102" s="275"/>
      <c r="Y102" s="275"/>
      <c r="Z102" s="275"/>
      <c r="AA102" s="275"/>
      <c r="AB102" s="275"/>
      <c r="AC102" s="275"/>
      <c r="AD102" s="275"/>
      <c r="AE102" s="275"/>
      <c r="AF102" s="275"/>
      <c r="AG102" s="275"/>
      <c r="AH102" s="275"/>
      <c r="AI102" s="275"/>
      <c r="AJ102" s="275"/>
      <c r="AK102" s="275"/>
      <c r="AL102" s="275"/>
      <c r="AM102" s="275"/>
      <c r="AN102" s="275"/>
      <c r="AO102" s="275"/>
      <c r="AP102" s="275"/>
      <c r="AQ102" s="275"/>
      <c r="AR102" s="275"/>
      <c r="AS102" s="275"/>
    </row>
    <row r="103" spans="1:45" hidden="1">
      <c r="A103" s="275"/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M103" s="274"/>
      <c r="N103" s="274"/>
      <c r="O103" s="274"/>
      <c r="P103" s="274"/>
      <c r="Q103" s="274"/>
      <c r="R103" s="275"/>
      <c r="S103" s="275"/>
      <c r="T103" s="275"/>
      <c r="U103" s="275"/>
      <c r="V103" s="275"/>
      <c r="W103" s="275"/>
      <c r="X103" s="275"/>
      <c r="Y103" s="275"/>
      <c r="Z103" s="275"/>
      <c r="AA103" s="275"/>
      <c r="AB103" s="275"/>
      <c r="AC103" s="275"/>
      <c r="AD103" s="275"/>
      <c r="AE103" s="275"/>
      <c r="AF103" s="275"/>
      <c r="AG103" s="275"/>
      <c r="AH103" s="275"/>
      <c r="AI103" s="275"/>
      <c r="AJ103" s="275"/>
      <c r="AK103" s="275"/>
      <c r="AL103" s="275"/>
      <c r="AM103" s="275"/>
      <c r="AN103" s="275"/>
      <c r="AO103" s="275"/>
      <c r="AP103" s="275"/>
      <c r="AQ103" s="275"/>
      <c r="AR103" s="275"/>
      <c r="AS103" s="275"/>
    </row>
    <row r="104" spans="1:45" hidden="1">
      <c r="A104" s="275"/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M104" s="274"/>
      <c r="N104" s="274"/>
      <c r="O104" s="274"/>
      <c r="P104" s="274"/>
      <c r="Q104" s="274"/>
      <c r="R104" s="275"/>
      <c r="S104" s="275"/>
      <c r="T104" s="275"/>
      <c r="U104" s="275"/>
      <c r="V104" s="275"/>
      <c r="W104" s="275"/>
      <c r="X104" s="275"/>
      <c r="Y104" s="275"/>
      <c r="Z104" s="275"/>
      <c r="AA104" s="275"/>
      <c r="AB104" s="275"/>
      <c r="AC104" s="275"/>
      <c r="AD104" s="275"/>
      <c r="AE104" s="275"/>
      <c r="AF104" s="275"/>
      <c r="AG104" s="275"/>
      <c r="AH104" s="275"/>
      <c r="AI104" s="275"/>
      <c r="AJ104" s="275"/>
      <c r="AK104" s="275"/>
      <c r="AL104" s="275"/>
      <c r="AM104" s="275"/>
      <c r="AN104" s="275"/>
      <c r="AO104" s="275"/>
      <c r="AP104" s="275"/>
      <c r="AQ104" s="275"/>
      <c r="AR104" s="275"/>
      <c r="AS104" s="275"/>
    </row>
    <row r="105" spans="1:45" hidden="1">
      <c r="A105" s="275"/>
      <c r="B105" s="275"/>
      <c r="C105" s="275"/>
      <c r="D105" s="275"/>
      <c r="E105" s="275"/>
      <c r="F105" s="275"/>
      <c r="G105" s="275"/>
      <c r="H105" s="275"/>
      <c r="I105" s="275"/>
      <c r="J105" s="275"/>
      <c r="K105" s="275"/>
      <c r="L105" s="275"/>
      <c r="M105" s="274"/>
      <c r="N105" s="274"/>
      <c r="O105" s="274"/>
      <c r="P105" s="274"/>
      <c r="Q105" s="274"/>
      <c r="R105" s="275"/>
      <c r="S105" s="275"/>
      <c r="T105" s="275"/>
      <c r="U105" s="275"/>
      <c r="V105" s="275"/>
      <c r="W105" s="275"/>
      <c r="X105" s="275"/>
      <c r="Y105" s="275"/>
      <c r="Z105" s="275"/>
      <c r="AA105" s="275"/>
      <c r="AB105" s="275"/>
      <c r="AC105" s="275"/>
      <c r="AD105" s="275"/>
      <c r="AE105" s="275"/>
      <c r="AF105" s="275"/>
      <c r="AG105" s="275"/>
      <c r="AH105" s="275"/>
      <c r="AI105" s="275"/>
      <c r="AJ105" s="275"/>
      <c r="AK105" s="275"/>
      <c r="AL105" s="275"/>
      <c r="AM105" s="275"/>
      <c r="AN105" s="275"/>
      <c r="AO105" s="275"/>
      <c r="AP105" s="275"/>
      <c r="AQ105" s="275"/>
      <c r="AR105" s="275"/>
      <c r="AS105" s="275"/>
    </row>
    <row r="106" spans="1:45" hidden="1">
      <c r="A106" s="275"/>
      <c r="B106" s="275"/>
      <c r="C106" s="275"/>
      <c r="D106" s="275"/>
      <c r="E106" s="275"/>
      <c r="F106" s="275"/>
      <c r="G106" s="275"/>
      <c r="H106" s="275"/>
      <c r="I106" s="275"/>
      <c r="J106" s="275"/>
      <c r="K106" s="275"/>
      <c r="L106" s="275"/>
      <c r="M106" s="274"/>
      <c r="N106" s="274"/>
      <c r="O106" s="274"/>
      <c r="P106" s="274"/>
      <c r="Q106" s="274"/>
      <c r="R106" s="275"/>
      <c r="S106" s="275"/>
      <c r="T106" s="275"/>
      <c r="U106" s="275"/>
      <c r="V106" s="275"/>
      <c r="W106" s="275"/>
      <c r="X106" s="275"/>
      <c r="Y106" s="275"/>
      <c r="Z106" s="275"/>
      <c r="AA106" s="275"/>
      <c r="AB106" s="275"/>
      <c r="AC106" s="275"/>
      <c r="AD106" s="275"/>
      <c r="AE106" s="275"/>
      <c r="AF106" s="275"/>
      <c r="AG106" s="275"/>
      <c r="AH106" s="275"/>
      <c r="AI106" s="275"/>
      <c r="AJ106" s="275"/>
      <c r="AK106" s="275"/>
      <c r="AL106" s="275"/>
      <c r="AM106" s="275"/>
      <c r="AN106" s="275"/>
      <c r="AO106" s="275"/>
      <c r="AP106" s="275"/>
      <c r="AQ106" s="275"/>
      <c r="AR106" s="275"/>
      <c r="AS106" s="275"/>
    </row>
    <row r="107" spans="1:45" hidden="1">
      <c r="A107" s="275"/>
      <c r="B107" s="275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M107" s="274"/>
      <c r="N107" s="274"/>
      <c r="O107" s="274"/>
      <c r="P107" s="274"/>
      <c r="Q107" s="274"/>
      <c r="R107" s="275"/>
      <c r="S107" s="275"/>
      <c r="T107" s="275"/>
      <c r="U107" s="275"/>
      <c r="V107" s="275"/>
      <c r="W107" s="275"/>
      <c r="X107" s="275"/>
      <c r="Y107" s="275"/>
      <c r="Z107" s="275"/>
      <c r="AA107" s="275"/>
      <c r="AB107" s="275"/>
      <c r="AC107" s="275"/>
      <c r="AD107" s="275"/>
      <c r="AE107" s="275"/>
      <c r="AF107" s="275"/>
      <c r="AG107" s="275"/>
      <c r="AH107" s="275"/>
      <c r="AI107" s="275"/>
      <c r="AJ107" s="275"/>
      <c r="AK107" s="275"/>
      <c r="AL107" s="275"/>
      <c r="AM107" s="275"/>
      <c r="AN107" s="275"/>
      <c r="AO107" s="275"/>
      <c r="AP107" s="275"/>
      <c r="AQ107" s="275"/>
      <c r="AR107" s="275"/>
      <c r="AS107" s="275"/>
    </row>
    <row r="108" spans="1:45" hidden="1">
      <c r="A108" s="275"/>
      <c r="B108" s="275"/>
      <c r="C108" s="275"/>
      <c r="D108" s="275"/>
      <c r="E108" s="275"/>
      <c r="F108" s="275"/>
      <c r="G108" s="275"/>
      <c r="H108" s="275"/>
      <c r="I108" s="275"/>
      <c r="J108" s="275"/>
      <c r="K108" s="275"/>
      <c r="L108" s="275"/>
      <c r="M108" s="274"/>
      <c r="N108" s="274"/>
      <c r="O108" s="274"/>
      <c r="P108" s="274"/>
      <c r="Q108" s="274"/>
      <c r="R108" s="275"/>
      <c r="S108" s="275"/>
      <c r="T108" s="275"/>
      <c r="U108" s="275"/>
      <c r="V108" s="275"/>
      <c r="W108" s="275"/>
      <c r="X108" s="275"/>
      <c r="Y108" s="275"/>
      <c r="Z108" s="275"/>
      <c r="AA108" s="275"/>
      <c r="AB108" s="275"/>
      <c r="AC108" s="275"/>
      <c r="AD108" s="275"/>
      <c r="AE108" s="275"/>
      <c r="AF108" s="275"/>
      <c r="AG108" s="275"/>
      <c r="AH108" s="275"/>
      <c r="AI108" s="275"/>
      <c r="AJ108" s="275"/>
      <c r="AK108" s="275"/>
      <c r="AL108" s="275"/>
      <c r="AM108" s="275"/>
      <c r="AN108" s="275"/>
      <c r="AO108" s="275"/>
      <c r="AP108" s="275"/>
      <c r="AQ108" s="275"/>
      <c r="AR108" s="275"/>
      <c r="AS108" s="275"/>
    </row>
    <row r="109" spans="1:45" hidden="1"/>
    <row r="110" spans="1:45" hidden="1"/>
    <row r="111" spans="1:45" hidden="1"/>
    <row r="112" spans="1:45" hidden="1"/>
  </sheetData>
  <sheetProtection algorithmName="SHA-512" hashValue="3DXaZ/zYBrP8HURHKzUPqpahR6f0TZe6Svv7w7rXSMthHdVyRqQEybUUYAGpgxX4XOtrHoH2PZv9PbLuQrh5Pw==" saltValue="/jaatGnZW1aYsMoEQbLXfQ==" spinCount="100000" sheet="1" objects="1" scenarios="1" selectLockedCells="1"/>
  <mergeCells count="32">
    <mergeCell ref="G38:K38"/>
    <mergeCell ref="M38:Q38"/>
    <mergeCell ref="S38:AS38"/>
    <mergeCell ref="A39:E39"/>
    <mergeCell ref="M39:Q39"/>
    <mergeCell ref="G40:K40"/>
    <mergeCell ref="A41:E41"/>
    <mergeCell ref="A43:E43"/>
    <mergeCell ref="G44:K44"/>
    <mergeCell ref="G49:K49"/>
    <mergeCell ref="A50:E50"/>
    <mergeCell ref="A53:E53"/>
    <mergeCell ref="A55:E55"/>
    <mergeCell ref="G56:K56"/>
    <mergeCell ref="S58:X58"/>
    <mergeCell ref="S59:X59"/>
    <mergeCell ref="A60:E60"/>
    <mergeCell ref="G60:K60"/>
    <mergeCell ref="A62:E62"/>
    <mergeCell ref="G62:K62"/>
    <mergeCell ref="X61:X67"/>
    <mergeCell ref="M63:Q63"/>
    <mergeCell ref="G64:K64"/>
    <mergeCell ref="A67:E67"/>
    <mergeCell ref="A70:E70"/>
    <mergeCell ref="A75:E75"/>
    <mergeCell ref="B76:C76"/>
    <mergeCell ref="D76:E76"/>
    <mergeCell ref="M76:Q76"/>
    <mergeCell ref="S76:X76"/>
    <mergeCell ref="R92:R93"/>
    <mergeCell ref="X77:X78"/>
  </mergeCells>
  <phoneticPr fontId="37" type="noConversion"/>
  <dataValidations count="14">
    <dataValidation allowBlank="1" showInputMessage="1" showErrorMessage="1" error="输入范围是64~1024，步长为2" sqref="A1:C1"/>
    <dataValidation type="whole" allowBlank="1" showInputMessage="1" showErrorMessage="1" error="Input range from 162 to 15000000" sqref="C10">
      <formula1>162</formula1>
      <formula2>15000000</formula2>
    </dataValidation>
    <dataValidation type="custom" allowBlank="1" showInputMessage="1" showErrorMessage="1" error="Input range:[4,'WidthMax'],and is an integer multiple of 4" sqref="C4">
      <formula1>AND((C4&lt;=C2),(C4&gt;=4),(MOD(C4,4)=0))</formula1>
    </dataValidation>
    <dataValidation type="custom" allowBlank="1" showInputMessage="1" showErrorMessage="1" error="Input range:[4,'HeightMax'],and is an integer multiple of 4" sqref="C5">
      <formula1>AND((C5&lt;=C3),(C5&gt;=4),(MOD(C5,4)=0))</formula1>
    </dataValidation>
    <dataValidation type="custom" allowBlank="1" showInputMessage="1" showErrorMessage="1" error="Input 1000 or 100" sqref="C18">
      <formula1>OR((C18=1000),(C18=100))</formula1>
    </dataValidation>
    <dataValidation type="whole" allowBlank="1" showInputMessage="1" showErrorMessage="1" error="Input range is 0~GevSCPDMaxValue" sqref="C14">
      <formula1>0</formula1>
      <formula2>C15</formula2>
    </dataValidation>
    <dataValidation type="whole" allowBlank="1" showInputMessage="1" showErrorMessage="1" error="Input range from 0 to 5000" sqref="C11">
      <formula1>0</formula1>
      <formula2>5000</formula2>
    </dataValidation>
    <dataValidation type="custom" allowBlank="1" showInputMessage="1" showErrorMessage="1" error="Input 8 or 12" sqref="C12">
      <formula1>OR((C12=8),(C12=12))</formula1>
    </dataValidation>
    <dataValidation type="custom" allowBlank="1" showInputMessage="1" showErrorMessage="1" error="Input range is 512~8192, step is 4" sqref="C13">
      <formula1>AND((C13&lt;=8192),(C13&gt;=512),(MOD(C13,4)=0))</formula1>
    </dataValidation>
    <dataValidation type="custom" allowBlank="1" showInputMessage="1" showErrorMessage="1" error="Input range from 0.1 to 10000, step 0.1" sqref="C16">
      <formula1>AND(TRUNC(C16,1)=C16,(C16&gt;=0.1),(C16&lt;=10000))</formula1>
    </dataValidation>
    <dataValidation type="custom" allowBlank="1" showInputMessage="1" showErrorMessage="1" error="Input 0 or 1" sqref="C17 C21">
      <formula1>OR((C17=0),(C17=1))</formula1>
    </dataValidation>
    <dataValidation type="whole" allowBlank="1" showInputMessage="1" showErrorMessage="1" error="Input range:[0, 'BandwidthReserveMaxValue'], and is an integer multiple of 1" sqref="C19">
      <formula1>0</formula1>
      <formula2>C20</formula2>
    </dataValidation>
    <dataValidation type="custom" allowBlank="1" showInputMessage="1" showErrorMessage="1" error="Input 1 or 2" sqref="C6:C7">
      <formula1>AND(OR((C6=1),(C6=2)),C8=1)</formula1>
    </dataValidation>
    <dataValidation type="custom" allowBlank="1" showInputMessage="1" showErrorMessage="1" error="Input 1 or 2" sqref="C8:C9">
      <formula1>AND(OR((C8=1),(C8=2)),C6=1)</formula1>
    </dataValidation>
  </dataValidations>
  <pageMargins left="0.7" right="0.7" top="0.75" bottom="0.75" header="0.3" footer="0.3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selection activeCell="C5" sqref="C5"/>
    </sheetView>
  </sheetViews>
  <sheetFormatPr defaultColWidth="9" defaultRowHeight="13.5"/>
  <cols>
    <col min="1" max="1" width="15.5" customWidth="1"/>
    <col min="2" max="2" width="30.875" customWidth="1"/>
    <col min="3" max="3" width="18.625" customWidth="1"/>
    <col min="4" max="4" width="10.5" customWidth="1"/>
    <col min="9" max="9" width="9" customWidth="1"/>
    <col min="10" max="10" width="9" hidden="1" customWidth="1"/>
    <col min="11" max="15" width="9" customWidth="1"/>
  </cols>
  <sheetData>
    <row r="1" spans="1:4">
      <c r="A1" s="104" t="s">
        <v>197</v>
      </c>
      <c r="B1" s="104"/>
      <c r="C1" s="107"/>
    </row>
    <row r="2" spans="1:4">
      <c r="A2" s="104" t="s">
        <v>198</v>
      </c>
      <c r="B2" s="104" t="s">
        <v>199</v>
      </c>
      <c r="C2" s="104">
        <f>C55</f>
        <v>5496</v>
      </c>
    </row>
    <row r="3" spans="1:4">
      <c r="A3" s="104" t="s">
        <v>200</v>
      </c>
      <c r="B3" s="104" t="s">
        <v>201</v>
      </c>
      <c r="C3" s="104">
        <f>C56</f>
        <v>3672</v>
      </c>
    </row>
    <row r="4" spans="1:4">
      <c r="A4" s="104" t="s">
        <v>202</v>
      </c>
      <c r="B4" s="104" t="s">
        <v>203</v>
      </c>
      <c r="C4" s="107">
        <v>5496</v>
      </c>
      <c r="D4" s="105" t="str">
        <f>IF(OR(C4&gt;C2,C4&lt;8),J70,"")</f>
        <v/>
      </c>
    </row>
    <row r="5" spans="1:4">
      <c r="A5" s="104" t="s">
        <v>204</v>
      </c>
      <c r="B5" s="104" t="s">
        <v>205</v>
      </c>
      <c r="C5" s="107">
        <v>3672</v>
      </c>
      <c r="D5" s="105" t="str">
        <f>IF(OR(C5&gt;C3,C5&lt;2),J71,"")</f>
        <v/>
      </c>
    </row>
    <row r="6" spans="1:4" hidden="1">
      <c r="A6" s="104" t="s">
        <v>206</v>
      </c>
      <c r="B6" s="104" t="s">
        <v>207</v>
      </c>
      <c r="C6" s="107">
        <v>1</v>
      </c>
    </row>
    <row r="7" spans="1:4" hidden="1">
      <c r="A7" s="104" t="s">
        <v>208</v>
      </c>
      <c r="B7" s="104" t="s">
        <v>209</v>
      </c>
      <c r="C7" s="107">
        <v>1</v>
      </c>
    </row>
    <row r="8" spans="1:4" hidden="1">
      <c r="A8" s="104" t="s">
        <v>210</v>
      </c>
      <c r="B8" s="104" t="s">
        <v>211</v>
      </c>
      <c r="C8" s="107">
        <v>1</v>
      </c>
    </row>
    <row r="9" spans="1:4" hidden="1">
      <c r="A9" s="104" t="s">
        <v>212</v>
      </c>
      <c r="B9" s="104" t="s">
        <v>213</v>
      </c>
      <c r="C9" s="107">
        <v>1</v>
      </c>
    </row>
    <row r="10" spans="1:4">
      <c r="A10" s="104" t="s">
        <v>214</v>
      </c>
      <c r="B10" s="104" t="s">
        <v>215</v>
      </c>
      <c r="C10" s="107">
        <v>60000</v>
      </c>
    </row>
    <row r="11" spans="1:4" hidden="1">
      <c r="A11" s="104" t="s">
        <v>216</v>
      </c>
      <c r="B11" s="104" t="s">
        <v>217</v>
      </c>
      <c r="C11" s="107">
        <v>0</v>
      </c>
    </row>
    <row r="12" spans="1:4">
      <c r="A12" s="104" t="s">
        <v>218</v>
      </c>
      <c r="B12" s="104" t="s">
        <v>219</v>
      </c>
      <c r="C12" s="107">
        <v>8</v>
      </c>
    </row>
    <row r="13" spans="1:4">
      <c r="A13" s="104" t="s">
        <v>220</v>
      </c>
      <c r="B13" s="104" t="s">
        <v>221</v>
      </c>
      <c r="C13" s="107">
        <v>1500</v>
      </c>
    </row>
    <row r="14" spans="1:4">
      <c r="A14" s="104" t="s">
        <v>222</v>
      </c>
      <c r="B14" s="104" t="s">
        <v>223</v>
      </c>
      <c r="C14" s="107">
        <v>0</v>
      </c>
    </row>
    <row r="15" spans="1:4">
      <c r="A15" s="104" t="s">
        <v>224</v>
      </c>
      <c r="B15" s="104" t="s">
        <v>225</v>
      </c>
      <c r="C15" s="104">
        <f>C44</f>
        <v>80054</v>
      </c>
    </row>
    <row r="16" spans="1:4">
      <c r="A16" s="104" t="s">
        <v>931</v>
      </c>
      <c r="B16" s="104" t="s">
        <v>227</v>
      </c>
      <c r="C16" s="107">
        <v>5.3</v>
      </c>
    </row>
    <row r="17" spans="1:3">
      <c r="A17" s="104" t="s">
        <v>552</v>
      </c>
      <c r="B17" s="104" t="s">
        <v>229</v>
      </c>
      <c r="C17" s="107">
        <v>0</v>
      </c>
    </row>
    <row r="18" spans="1:3" hidden="1">
      <c r="A18" s="104" t="s">
        <v>230</v>
      </c>
      <c r="B18" s="104" t="s">
        <v>231</v>
      </c>
      <c r="C18" s="107">
        <v>1000</v>
      </c>
    </row>
    <row r="19" spans="1:3">
      <c r="A19" s="104" t="s">
        <v>232</v>
      </c>
      <c r="B19" s="104" t="s">
        <v>233</v>
      </c>
      <c r="C19" s="107">
        <v>10</v>
      </c>
    </row>
    <row r="20" spans="1:3">
      <c r="A20" s="104" t="s">
        <v>234</v>
      </c>
      <c r="B20" s="104" t="s">
        <v>235</v>
      </c>
      <c r="C20" s="104">
        <f>C48</f>
        <v>98</v>
      </c>
    </row>
    <row r="21" spans="1:3">
      <c r="A21" s="104" t="s">
        <v>280</v>
      </c>
      <c r="B21" s="104" t="s">
        <v>281</v>
      </c>
      <c r="C21" s="107">
        <v>0</v>
      </c>
    </row>
    <row r="22" spans="1:3">
      <c r="A22" s="117"/>
      <c r="B22" s="104"/>
      <c r="C22" s="104"/>
    </row>
    <row r="23" spans="1:3" hidden="1">
      <c r="A23" s="117" t="s">
        <v>259</v>
      </c>
      <c r="B23" s="104"/>
      <c r="C23" s="133">
        <v>31249</v>
      </c>
    </row>
    <row r="24" spans="1:3" hidden="1">
      <c r="A24" s="117" t="s">
        <v>236</v>
      </c>
      <c r="B24" s="104"/>
      <c r="C24" s="110">
        <f>C16*10</f>
        <v>53</v>
      </c>
    </row>
    <row r="25" spans="1:3" hidden="1">
      <c r="A25" s="117" t="s">
        <v>237</v>
      </c>
      <c r="B25" s="110"/>
      <c r="C25" s="110">
        <f>33+MAX(MAX(C5,1848)+38-33,2+17)</f>
        <v>3710</v>
      </c>
    </row>
    <row r="26" spans="1:3" hidden="1">
      <c r="A26" s="117" t="s">
        <v>238</v>
      </c>
      <c r="B26" s="110"/>
      <c r="C26" s="110">
        <f>MAX(ROUNDUP(((1000*C10)/C23),0),1)</f>
        <v>1921</v>
      </c>
    </row>
    <row r="27" spans="1:3" hidden="1">
      <c r="A27" s="117" t="s">
        <v>239</v>
      </c>
      <c r="B27" s="110"/>
      <c r="C27" s="110">
        <f>ROUNDDOWN(C11*1000/C23,0)</f>
        <v>0</v>
      </c>
    </row>
    <row r="28" spans="1:3" hidden="1">
      <c r="A28" s="117" t="s">
        <v>240</v>
      </c>
      <c r="B28" s="110"/>
      <c r="C28" s="110">
        <f>C26+C27+8</f>
        <v>1929</v>
      </c>
    </row>
    <row r="29" spans="1:3" hidden="1">
      <c r="A29" s="117" t="s">
        <v>313</v>
      </c>
      <c r="B29" s="110"/>
      <c r="C29" s="110">
        <v>1010</v>
      </c>
    </row>
    <row r="30" spans="1:3" hidden="1">
      <c r="A30" s="117" t="s">
        <v>241</v>
      </c>
      <c r="B30" s="110"/>
      <c r="C30" s="110">
        <v>0</v>
      </c>
    </row>
    <row r="31" spans="1:3" hidden="1">
      <c r="A31" s="117" t="s">
        <v>242</v>
      </c>
      <c r="B31" s="110"/>
      <c r="C31" s="134">
        <f>C4*C5*IF(C12=8,1,2)+C30*32</f>
        <v>20181312</v>
      </c>
    </row>
    <row r="32" spans="1:3" hidden="1">
      <c r="A32" s="117" t="s">
        <v>243</v>
      </c>
      <c r="B32" s="110"/>
      <c r="C32" s="110">
        <f>ROUNDDOWN((C4*C5*ROUNDUP(C12/8,0)+C30*36)/(C13-36),0)</f>
        <v>13785</v>
      </c>
    </row>
    <row r="33" spans="1:4" hidden="1">
      <c r="A33" s="117" t="s">
        <v>332</v>
      </c>
      <c r="B33" s="110"/>
      <c r="C33" s="110">
        <f>IF(C30=0,36,12)</f>
        <v>36</v>
      </c>
    </row>
    <row r="34" spans="1:4" hidden="1">
      <c r="A34" s="117" t="s">
        <v>244</v>
      </c>
      <c r="B34" s="110"/>
      <c r="C34" s="110">
        <f>C4*C5*ROUNDUP(C12/8,0)+C30*32-(C13-36)*C32</f>
        <v>72</v>
      </c>
    </row>
    <row r="35" spans="1:4" hidden="1">
      <c r="A35" s="110" t="s">
        <v>249</v>
      </c>
      <c r="B35" s="110"/>
      <c r="C35" s="110">
        <f>ROUNDUP((ROUNDDOWN((((62+(C13-36))*C32+62+C34+(168-C30*24))+(C14+12)*(C32+3)),0)*1000/C38)*10/C23,0)</f>
        <v>6031</v>
      </c>
    </row>
    <row r="36" spans="1:4" hidden="1">
      <c r="A36" s="135" t="s">
        <v>364</v>
      </c>
      <c r="B36" s="135"/>
      <c r="C36" s="135">
        <f>ROUNDUP((C31+C33+10)*10*1000/C29/C23,0)</f>
        <v>6395</v>
      </c>
    </row>
    <row r="37" spans="1:4" hidden="1">
      <c r="A37" s="135" t="s">
        <v>417</v>
      </c>
      <c r="B37" s="135"/>
      <c r="C37" s="135">
        <f>C35</f>
        <v>6031</v>
      </c>
    </row>
    <row r="38" spans="1:4" hidden="1">
      <c r="A38" s="110" t="s">
        <v>360</v>
      </c>
      <c r="B38" s="110"/>
      <c r="C38" s="110">
        <f>INT(C18*(100-C19)/80)</f>
        <v>1125</v>
      </c>
    </row>
    <row r="39" spans="1:4" hidden="1">
      <c r="A39" s="110" t="s">
        <v>250</v>
      </c>
      <c r="B39" s="110"/>
      <c r="C39" s="110">
        <f>ROUNDUP((1000000000/C16)/C23,0)</f>
        <v>6038</v>
      </c>
    </row>
    <row r="40" spans="1:4" hidden="1">
      <c r="A40" s="110" t="s">
        <v>413</v>
      </c>
      <c r="B40" s="110"/>
      <c r="C40" s="110">
        <f>C25+C28+2*16</f>
        <v>5671</v>
      </c>
    </row>
    <row r="41" spans="1:4" hidden="1">
      <c r="A41" s="110" t="s">
        <v>251</v>
      </c>
      <c r="B41" s="110"/>
      <c r="C41" s="136">
        <f>IF(C17=1,(IF(C21=1,MAX(C40,C25,C28,C37,C39),MAX(C25,C28,C37,C39))),(IF(C21=1,MAX(C40,C25,C28,C37),MAX(C25,C28,C37))))</f>
        <v>6031</v>
      </c>
      <c r="D41" t="str">
        <f>DEC2HEX(C41)</f>
        <v>178F</v>
      </c>
    </row>
    <row r="42" spans="1:4" hidden="1">
      <c r="A42" s="110" t="s">
        <v>252</v>
      </c>
      <c r="B42" s="110"/>
      <c r="C42" s="110">
        <f>1000000/C50</f>
        <v>5.3060812997776754</v>
      </c>
    </row>
    <row r="43" spans="1:4" hidden="1">
      <c r="A43" s="110" t="s">
        <v>253</v>
      </c>
      <c r="B43" s="110"/>
      <c r="C43" s="110">
        <f>12500*C18*(100-C19)</f>
        <v>1125000000</v>
      </c>
    </row>
    <row r="44" spans="1:4" hidden="1">
      <c r="A44" s="110" t="s">
        <v>254</v>
      </c>
      <c r="B44" s="110"/>
      <c r="C44" s="110">
        <f>IF((ROUNDDOWN((C43-(62+C13-36)*C32-62-C34-168+C30*24)/(C32+3),0)-12)&gt;C45,C45,ROUNDDOWN((C43-(62+C13-36)*C32-62-C34-168+C30*24)/(C32+3),0)-12)</f>
        <v>80054</v>
      </c>
    </row>
    <row r="45" spans="1:4" hidden="1">
      <c r="A45" s="110" t="s">
        <v>255</v>
      </c>
      <c r="B45" s="110"/>
      <c r="C45" s="110">
        <f>IF(C18=1000,180000,18000)</f>
        <v>180000</v>
      </c>
    </row>
    <row r="46" spans="1:4" hidden="1">
      <c r="A46" s="110" t="s">
        <v>256</v>
      </c>
      <c r="B46" s="110"/>
      <c r="C46" s="110">
        <f>((62+(C13-36))*C32+62+C34+168)+(C14+12)*(C32+3)</f>
        <v>21201668</v>
      </c>
    </row>
    <row r="47" spans="1:4" hidden="1">
      <c r="A47" s="110" t="s">
        <v>253</v>
      </c>
      <c r="B47" s="110"/>
      <c r="C47" s="110">
        <f>125000*C18</f>
        <v>125000000</v>
      </c>
    </row>
    <row r="48" spans="1:4" hidden="1">
      <c r="A48" s="110" t="s">
        <v>257</v>
      </c>
      <c r="B48" s="110"/>
      <c r="C48" s="110">
        <f>IF((100-ROUNDDOWN(C46*10/(1250000*C18/10),0)-1)&lt;0,0,(100-ROUNDDOWN(C46*10/(1250000*C18/10),0)-1))</f>
        <v>98</v>
      </c>
    </row>
    <row r="49" spans="1:3" hidden="1">
      <c r="A49" s="110" t="s">
        <v>258</v>
      </c>
      <c r="B49" s="110"/>
      <c r="C49" s="110">
        <f>ROUNDDOWN((C43-(62+C13-36)*C32-62-C34-168+C30*24)/(C32+3),0)-12</f>
        <v>80054</v>
      </c>
    </row>
    <row r="50" spans="1:3" hidden="1">
      <c r="A50" s="110" t="s">
        <v>424</v>
      </c>
      <c r="B50" s="110"/>
      <c r="C50" s="133">
        <f>ROUNDUP(C41*C23/1000,0)</f>
        <v>188463</v>
      </c>
    </row>
    <row r="51" spans="1:3" hidden="1">
      <c r="A51" s="110" t="s">
        <v>425</v>
      </c>
      <c r="B51" s="110"/>
      <c r="C51" s="110">
        <f>ROUNDDOWN(1000000000/C50,0)</f>
        <v>5306</v>
      </c>
    </row>
    <row r="52" spans="1:3" hidden="1">
      <c r="A52" s="110" t="s">
        <v>416</v>
      </c>
      <c r="B52" s="110"/>
      <c r="C52" s="110">
        <f>ROUNDDOWN(C4*C51/10*IF(C12=8,1,2)/10*C5/10,0)</f>
        <v>107082041</v>
      </c>
    </row>
    <row r="53" spans="1:3" hidden="1">
      <c r="A53" s="110" t="s">
        <v>366</v>
      </c>
      <c r="B53" s="110"/>
      <c r="C53" s="110">
        <f>ROUNDDOWN((C52*10/(100-C19)*10),)</f>
        <v>118980045</v>
      </c>
    </row>
    <row r="54" spans="1:3" hidden="1">
      <c r="A54" s="110"/>
      <c r="B54" s="110"/>
      <c r="C54" s="110"/>
    </row>
    <row r="55" spans="1:3" hidden="1">
      <c r="A55" s="110" t="s">
        <v>262</v>
      </c>
      <c r="B55" s="110"/>
      <c r="C55" s="110">
        <f>ROUNDDOWN(5496/(4*C57),0)*4</f>
        <v>5496</v>
      </c>
    </row>
    <row r="56" spans="1:3" hidden="1">
      <c r="A56" s="110" t="s">
        <v>263</v>
      </c>
      <c r="B56" s="110"/>
      <c r="C56" s="110">
        <f>ROUNDDOWN(3672/(2*C58),0)*2</f>
        <v>3672</v>
      </c>
    </row>
    <row r="57" spans="1:3" hidden="1">
      <c r="A57" s="110" t="s">
        <v>264</v>
      </c>
      <c r="B57" s="110"/>
      <c r="C57" s="110">
        <f>IF(C6=1,C8,C6)</f>
        <v>1</v>
      </c>
    </row>
    <row r="58" spans="1:3" hidden="1">
      <c r="A58" s="110" t="s">
        <v>265</v>
      </c>
      <c r="B58" s="110"/>
      <c r="C58" s="110">
        <f>IF(C7=1,C9,C7)</f>
        <v>1</v>
      </c>
    </row>
    <row r="59" spans="1:3" hidden="1">
      <c r="A59" s="110" t="s">
        <v>266</v>
      </c>
      <c r="B59" s="110"/>
      <c r="C59" s="110">
        <f>ROUNDDOWN(C63/4,0)*4*C57</f>
        <v>5496</v>
      </c>
    </row>
    <row r="60" spans="1:3" hidden="1">
      <c r="A60" s="110" t="s">
        <v>267</v>
      </c>
      <c r="B60" s="110"/>
      <c r="C60" s="110">
        <f>ROUNDDOWN(C64/2,0)*2*C58</f>
        <v>3672</v>
      </c>
    </row>
    <row r="61" spans="1:3" hidden="1">
      <c r="A61" s="110" t="s">
        <v>268</v>
      </c>
      <c r="B61" s="110"/>
      <c r="C61" s="110">
        <f>ROUNDDOWN(C4/4,0)*4*C57</f>
        <v>5496</v>
      </c>
    </row>
    <row r="62" spans="1:3" hidden="1">
      <c r="A62" s="110" t="s">
        <v>269</v>
      </c>
      <c r="B62" s="110"/>
      <c r="C62" s="110">
        <f>ROUNDDOWN(C5/2,0)*2*C58</f>
        <v>3672</v>
      </c>
    </row>
    <row r="63" spans="1:3" hidden="1">
      <c r="A63" s="110" t="s">
        <v>270</v>
      </c>
      <c r="B63" s="110"/>
      <c r="C63" s="110">
        <f>ROUNDDOWN(C61/(4*C57),0)*4</f>
        <v>5496</v>
      </c>
    </row>
    <row r="64" spans="1:3" hidden="1">
      <c r="A64" s="110" t="s">
        <v>271</v>
      </c>
      <c r="B64" s="110"/>
      <c r="C64" s="110">
        <f>ROUNDDOWN(C62/(2*C58),0)*2</f>
        <v>3672</v>
      </c>
    </row>
    <row r="65" spans="1:10" hidden="1">
      <c r="A65" s="110"/>
      <c r="B65" s="110"/>
      <c r="C65" s="110"/>
    </row>
    <row r="66" spans="1:10" hidden="1">
      <c r="A66" s="110"/>
      <c r="B66" s="110"/>
      <c r="C66" s="110"/>
    </row>
    <row r="67" spans="1:10" ht="14.25">
      <c r="A67" s="118" t="s">
        <v>272</v>
      </c>
      <c r="B67" s="118"/>
      <c r="C67" s="118"/>
    </row>
    <row r="68" spans="1:10" ht="14.25">
      <c r="A68" s="118" t="s">
        <v>252</v>
      </c>
      <c r="B68" s="118" t="s">
        <v>407</v>
      </c>
      <c r="C68" s="118">
        <f>ROUND(C42,2)</f>
        <v>5.31</v>
      </c>
      <c r="D68" s="120" t="str">
        <f>IF(J76=1,J72,"")</f>
        <v/>
      </c>
    </row>
    <row r="69" spans="1:10">
      <c r="J69" t="s">
        <v>418</v>
      </c>
    </row>
    <row r="70" spans="1:10">
      <c r="J70" s="259" t="s">
        <v>426</v>
      </c>
    </row>
    <row r="71" spans="1:10">
      <c r="J71" s="259" t="s">
        <v>427</v>
      </c>
    </row>
    <row r="72" spans="1:10">
      <c r="J72" t="s">
        <v>421</v>
      </c>
    </row>
    <row r="75" spans="1:10">
      <c r="J75" t="s">
        <v>422</v>
      </c>
    </row>
    <row r="76" spans="1:10">
      <c r="J76">
        <f>IF(OR(OR(C4&gt;C2,C4&lt;8),OR(C5&gt;C3,C5&lt;2)),1,0)</f>
        <v>0</v>
      </c>
    </row>
  </sheetData>
  <sheetProtection algorithmName="SHA-512" hashValue="HDZ0vosUQZoFbEPabPGHKtvi40AhaigbQooVUAWmrSHwiZBzzGxPCwMZctwCH1ABWjajlQYFm490WUgMWXOTPA==" saltValue="8gG4QWZbjR34ca9pTBJqMg==" spinCount="100000" sheet="1" objects="1" scenarios="1" selectLockedCells="1"/>
  <phoneticPr fontId="37" type="noConversion"/>
  <conditionalFormatting sqref="C68">
    <cfRule type="expression" dxfId="15" priority="1" stopIfTrue="1">
      <formula>$J$8=1</formula>
    </cfRule>
  </conditionalFormatting>
  <dataValidations count="20"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="输入参数值为1、2或者4，并且当水平像素Binning不为1时不能输入" sqref="C8">
      <formula1>AND(OR((C8=1),(C8=2),(C8=4)),C6=1)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输入参数值为1、2或者4，并且当垂直像素Binning不为1时不能输入" sqref="C9">
      <formula1>AND(OR((C9=1),(C9=2),(C9=4)),C7=1)</formula1>
    </dataValidation>
    <dataValidation type="whole" allowBlank="1" error="设置值超过包间隔范围" prompt="设置值应在预留带宽范围内" sqref="C20">
      <formula1>0</formula1>
      <formula2>C48</formula2>
    </dataValidation>
    <dataValidation type="custom" allowBlank="1" showInputMessage="1" showErrorMessage="1" error="请输入1000或者100" sqref="C18">
      <formula1>OR((C18=1000),(C18=100))</formula1>
    </dataValidation>
    <dataValidation type="custom" allowBlank="1" showInputMessage="1" showErrorMessage="1" error="输入范围是8~图像宽度最大值，步长为8" sqref="C4">
      <formula1>AND((C4&lt;=C2),(C4&gt;=8),(MOD(C4,8)=0))</formula1>
    </dataValidation>
    <dataValidation type="custom" allowBlank="1" showInputMessage="1" showErrorMessage="1" error="输入范围是2~图像高度最大值，步长为2" sqref="C5">
      <formula1>AND((C5&lt;=C3),(C5&gt;=2),(MOD(C5,2)=0))</formula1>
    </dataValidation>
    <dataValidation type="custom" allowBlank="1" showInputMessage="1" showErrorMessage="1" error="输入参数值为1、2或者4，并且当水平像素抽样不为1时不能输入" sqref="C6">
      <formula1>AND(OR((C6=1),(C6=2),(C6=4)),C8=1)</formula1>
    </dataValidation>
    <dataValidation type="custom" allowBlank="1" showInputMessage="1" showErrorMessage="1" error="输入参数值为1、2或者4，并且当垂直像素抽样不为1时不能输入" sqref="C7">
      <formula1>AND(OR((C7=1),(C7=2),(C7=4)),C9=1)</formula1>
    </dataValidation>
    <dataValidation type="whole" allowBlank="1" showInputMessage="1" showErrorMessage="1" error="输入范围是31~15000000" sqref="C10">
      <formula1>31</formula1>
      <formula2>15000000</formula2>
    </dataValidation>
    <dataValidation type="custom" allowBlank="1" showErrorMessage="1" error="请输入0或者1" prompt="应在包间隔范围内" sqref="C17">
      <formula1>OR((C17=0),(C17=1))</formula1>
    </dataValidation>
    <dataValidation type="whole" allowBlank="1" showInputMessage="1" showErrorMessage="1" error="输入范围是[0,5000]，单位为us" sqref="C11">
      <formula1>0</formula1>
      <formula2>5000</formula2>
    </dataValidation>
    <dataValidation type="custom" allowBlank="1" showInputMessage="1" showErrorMessage="1" error="请输入8或者12" sqref="C12">
      <formula1>OR((C12=8),(C12=12))</formula1>
    </dataValidation>
    <dataValidation type="custom" allowBlank="1" showInputMessage="1" showErrorMessage="1" error="输入范围是512~8192，步长为4" sqref="C13">
      <formula1>AND((C13&lt;=8192),(C13&gt;=512),(MOD(C13,4)=0))</formula1>
    </dataValidation>
    <dataValidation type="whole" allowBlank="1" showInputMessage="1" showErrorMessage="1" error="设置值范围为0~包间隔最大值" sqref="C14">
      <formula1>0</formula1>
      <formula2>C15</formula2>
    </dataValidation>
    <dataValidation type="whole" allowBlank="1" showInputMessage="1" showErrorMessage="1" error="设置值范围为0~预留带宽最大值" sqref="C19">
      <formula1>0</formula1>
      <formula2>C20</formula2>
    </dataValidation>
    <dataValidation type="whole" allowBlank="1" showErrorMessage="1" error="设置值超过最大值" prompt="应在包间隔范围内" sqref="C15">
      <formula1>0</formula1>
      <formula2>C44</formula2>
    </dataValidation>
    <dataValidation type="custom" allowBlank="1" showErrorMessage="1" error="设置值范围0.1~10000.0，精确到一位小数" prompt="应在包间隔范围内" sqref="C16">
      <formula1>AND(TRUNC(C16,1)=C16,(C16&gt;=0.1),(C16&lt;=10000))</formula1>
    </dataValidation>
    <dataValidation type="custom" allowBlank="1" showInputMessage="1" showErrorMessage="1" error="请输入0或者1" sqref="C21">
      <formula1>OR((C21=0),(C21=1))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opLeftCell="B1" workbookViewId="0">
      <selection activeCell="C19" sqref="C19"/>
    </sheetView>
  </sheetViews>
  <sheetFormatPr defaultColWidth="16.5" defaultRowHeight="13.5"/>
  <cols>
    <col min="1" max="1" width="16.5" hidden="1" customWidth="1"/>
    <col min="2" max="2" width="30.75" customWidth="1"/>
    <col min="9" max="9" width="16.5" hidden="1" customWidth="1"/>
    <col min="10" max="10" width="174.75" hidden="1" customWidth="1"/>
    <col min="11" max="12" width="16.5" customWidth="1"/>
  </cols>
  <sheetData>
    <row r="1" spans="1:4" ht="15.75" customHeight="1">
      <c r="A1" s="104" t="s">
        <v>197</v>
      </c>
      <c r="B1" s="104"/>
      <c r="C1" s="107"/>
    </row>
    <row r="2" spans="1:4">
      <c r="A2" s="104" t="s">
        <v>198</v>
      </c>
      <c r="B2" s="104" t="s">
        <v>199</v>
      </c>
      <c r="C2" s="104">
        <f>C51</f>
        <v>720</v>
      </c>
    </row>
    <row r="3" spans="1:4">
      <c r="A3" s="104" t="s">
        <v>200</v>
      </c>
      <c r="B3" s="104" t="s">
        <v>201</v>
      </c>
      <c r="C3" s="104">
        <f>C52</f>
        <v>540</v>
      </c>
    </row>
    <row r="4" spans="1:4">
      <c r="A4" s="104" t="s">
        <v>202</v>
      </c>
      <c r="B4" s="104" t="s">
        <v>203</v>
      </c>
      <c r="C4" s="107">
        <v>720</v>
      </c>
      <c r="D4" s="105" t="str">
        <f>IF(OR(C4&gt;C2,C4&lt;8),J68,"")</f>
        <v/>
      </c>
    </row>
    <row r="5" spans="1:4">
      <c r="A5" s="104" t="s">
        <v>204</v>
      </c>
      <c r="B5" s="104" t="s">
        <v>205</v>
      </c>
      <c r="C5" s="107">
        <v>540</v>
      </c>
      <c r="D5" s="105" t="str">
        <f>IF(OR(C5&gt;C3,C5&lt;2),J69,"")</f>
        <v/>
      </c>
    </row>
    <row r="6" spans="1:4">
      <c r="A6" s="104" t="s">
        <v>206</v>
      </c>
      <c r="B6" s="104" t="s">
        <v>207</v>
      </c>
      <c r="C6" s="107">
        <v>1</v>
      </c>
    </row>
    <row r="7" spans="1:4">
      <c r="A7" s="104" t="s">
        <v>208</v>
      </c>
      <c r="B7" s="104" t="s">
        <v>209</v>
      </c>
      <c r="C7" s="107">
        <v>1</v>
      </c>
    </row>
    <row r="8" spans="1:4">
      <c r="A8" s="104" t="s">
        <v>210</v>
      </c>
      <c r="B8" s="104" t="s">
        <v>211</v>
      </c>
      <c r="C8" s="107">
        <v>1</v>
      </c>
    </row>
    <row r="9" spans="1:4">
      <c r="A9" s="104" t="s">
        <v>212</v>
      </c>
      <c r="B9" s="104" t="s">
        <v>213</v>
      </c>
      <c r="C9" s="107">
        <v>1</v>
      </c>
    </row>
    <row r="10" spans="1:4">
      <c r="A10" s="104" t="s">
        <v>214</v>
      </c>
      <c r="B10" s="104" t="s">
        <v>215</v>
      </c>
      <c r="C10" s="107">
        <v>10000</v>
      </c>
    </row>
    <row r="11" spans="1:4">
      <c r="A11" s="104" t="s">
        <v>216</v>
      </c>
      <c r="B11" s="104" t="s">
        <v>217</v>
      </c>
      <c r="C11" s="107">
        <v>0</v>
      </c>
    </row>
    <row r="12" spans="1:4">
      <c r="A12" s="104" t="s">
        <v>218</v>
      </c>
      <c r="B12" s="104" t="s">
        <v>219</v>
      </c>
      <c r="C12" s="107">
        <v>8</v>
      </c>
    </row>
    <row r="13" spans="1:4">
      <c r="A13" s="104" t="s">
        <v>220</v>
      </c>
      <c r="B13" s="104" t="s">
        <v>221</v>
      </c>
      <c r="C13" s="107">
        <v>1500</v>
      </c>
    </row>
    <row r="14" spans="1:4">
      <c r="A14" s="104" t="s">
        <v>222</v>
      </c>
      <c r="B14" s="104" t="s">
        <v>223</v>
      </c>
      <c r="C14" s="107">
        <v>0</v>
      </c>
    </row>
    <row r="15" spans="1:4">
      <c r="A15" s="104" t="s">
        <v>224</v>
      </c>
      <c r="B15" s="104" t="s">
        <v>225</v>
      </c>
      <c r="C15" s="104">
        <f>C41</f>
        <v>180000</v>
      </c>
    </row>
    <row r="16" spans="1:4">
      <c r="A16" s="104" t="s">
        <v>226</v>
      </c>
      <c r="B16" s="104" t="s">
        <v>227</v>
      </c>
      <c r="C16" s="107">
        <v>302</v>
      </c>
    </row>
    <row r="17" spans="1:3">
      <c r="A17" s="104" t="s">
        <v>228</v>
      </c>
      <c r="B17" s="104" t="s">
        <v>229</v>
      </c>
      <c r="C17" s="107">
        <v>0</v>
      </c>
    </row>
    <row r="18" spans="1:3">
      <c r="A18" s="104" t="s">
        <v>230</v>
      </c>
      <c r="B18" s="104" t="s">
        <v>231</v>
      </c>
      <c r="C18" s="107">
        <v>1000</v>
      </c>
    </row>
    <row r="19" spans="1:3">
      <c r="A19" s="104" t="s">
        <v>232</v>
      </c>
      <c r="B19" s="104" t="s">
        <v>233</v>
      </c>
      <c r="C19" s="107">
        <v>5</v>
      </c>
    </row>
    <row r="20" spans="1:3" ht="14.25" customHeight="1">
      <c r="A20" s="104" t="s">
        <v>234</v>
      </c>
      <c r="B20" s="104" t="s">
        <v>235</v>
      </c>
      <c r="C20" s="104">
        <f>C45</f>
        <v>99</v>
      </c>
    </row>
    <row r="21" spans="1:3" ht="11.25" hidden="1" customHeight="1">
      <c r="A21" s="104"/>
      <c r="B21" s="104"/>
      <c r="C21" s="104"/>
    </row>
    <row r="22" spans="1:3" hidden="1">
      <c r="A22" s="117"/>
      <c r="B22" s="104"/>
      <c r="C22" s="104"/>
    </row>
    <row r="23" spans="1:3" hidden="1">
      <c r="A23" s="117" t="s">
        <v>236</v>
      </c>
      <c r="B23" s="104"/>
      <c r="C23" s="110">
        <f>C16*10</f>
        <v>3020</v>
      </c>
    </row>
    <row r="24" spans="1:3" hidden="1">
      <c r="A24" s="117" t="s">
        <v>237</v>
      </c>
      <c r="B24" s="110"/>
      <c r="C24" s="110">
        <f>(C5+42)</f>
        <v>582</v>
      </c>
    </row>
    <row r="25" spans="1:3" hidden="1">
      <c r="A25" s="117" t="s">
        <v>238</v>
      </c>
      <c r="B25" s="110"/>
      <c r="C25" s="110">
        <f>MAX(ROUNDUP((C10*1000-14260)/C47,0),1)</f>
        <v>1870</v>
      </c>
    </row>
    <row r="26" spans="1:3" hidden="1">
      <c r="A26" s="117" t="s">
        <v>239</v>
      </c>
      <c r="B26" s="110"/>
      <c r="C26" s="110">
        <f>ROUNDUP(C11*1000/C42,0)</f>
        <v>0</v>
      </c>
    </row>
    <row r="27" spans="1:3" hidden="1">
      <c r="A27" s="117" t="s">
        <v>240</v>
      </c>
      <c r="B27" s="110"/>
      <c r="C27" s="110">
        <f>C25+C26+18</f>
        <v>1888</v>
      </c>
    </row>
    <row r="28" spans="1:3" hidden="1">
      <c r="A28" s="117" t="s">
        <v>241</v>
      </c>
      <c r="B28" s="110"/>
      <c r="C28" s="110">
        <v>0</v>
      </c>
    </row>
    <row r="29" spans="1:3" hidden="1">
      <c r="A29" s="117" t="s">
        <v>242</v>
      </c>
      <c r="B29" s="110"/>
      <c r="C29" s="134">
        <f>C3*C4*IF(C12=8,1,2)+C28*32</f>
        <v>388800</v>
      </c>
    </row>
    <row r="30" spans="1:3" hidden="1">
      <c r="A30" s="117" t="s">
        <v>243</v>
      </c>
      <c r="B30" s="110"/>
      <c r="C30" s="110">
        <f>ROUNDDOWN((C4*C5*ROUNDUP(C12/8,0)+C28*32)/(C13-36),0)</f>
        <v>265</v>
      </c>
    </row>
    <row r="31" spans="1:3" hidden="1">
      <c r="A31" s="117" t="s">
        <v>244</v>
      </c>
      <c r="B31" s="110"/>
      <c r="C31" s="110">
        <f>C4*C5*ROUNDUP(C12/8,0)+C28*32-(C13-36)*C30</f>
        <v>840</v>
      </c>
    </row>
    <row r="32" spans="1:3" hidden="1">
      <c r="A32" s="636" t="s">
        <v>245</v>
      </c>
      <c r="B32" s="110"/>
      <c r="C32" s="635">
        <f>IF(C31=0,0,1)</f>
        <v>1</v>
      </c>
    </row>
    <row r="33" spans="1:3" ht="54" hidden="1">
      <c r="A33" s="636" t="s">
        <v>246</v>
      </c>
      <c r="B33" s="110"/>
      <c r="C33" s="635">
        <f>(C13+26)*C30+C32*(C31+62)</f>
        <v>405292</v>
      </c>
    </row>
    <row r="34" spans="1:3" hidden="1">
      <c r="A34" s="636" t="s">
        <v>247</v>
      </c>
      <c r="B34" s="110"/>
      <c r="C34" s="635">
        <f>(C14+12)*(C30+C32+2)</f>
        <v>3216</v>
      </c>
    </row>
    <row r="35" spans="1:3" hidden="1">
      <c r="A35" s="636" t="s">
        <v>248</v>
      </c>
      <c r="B35" s="110"/>
      <c r="C35" s="635">
        <f>C33+C34+98+72</f>
        <v>408678</v>
      </c>
    </row>
    <row r="36" spans="1:3" hidden="1">
      <c r="A36" s="110" t="s">
        <v>249</v>
      </c>
      <c r="B36" s="110"/>
      <c r="C36" s="635">
        <f>ROUNDUP(ROUNDUP(C35*1000000000/C40,0)*10/C47,0)</f>
        <v>645</v>
      </c>
    </row>
    <row r="37" spans="1:3" hidden="1">
      <c r="A37" s="110" t="s">
        <v>250</v>
      </c>
      <c r="B37" s="110"/>
      <c r="C37" s="110">
        <f>ROUNDUP(10000000000/C23/C47,0)</f>
        <v>621</v>
      </c>
    </row>
    <row r="38" spans="1:3" hidden="1">
      <c r="A38" s="110" t="s">
        <v>251</v>
      </c>
      <c r="B38" s="110"/>
      <c r="C38" s="110">
        <f>MAX(C24,C27,C36,C37*C17)</f>
        <v>1888</v>
      </c>
    </row>
    <row r="39" spans="1:3" hidden="1">
      <c r="A39" s="110" t="s">
        <v>252</v>
      </c>
      <c r="B39" s="110"/>
      <c r="C39" s="110">
        <f>1000000/C49</f>
        <v>99.186669311644522</v>
      </c>
    </row>
    <row r="40" spans="1:3" hidden="1">
      <c r="A40" s="110" t="s">
        <v>253</v>
      </c>
      <c r="B40" s="110"/>
      <c r="C40" s="110">
        <f>12500*C18*(100-C19)</f>
        <v>1187500000</v>
      </c>
    </row>
    <row r="41" spans="1:3" hidden="1">
      <c r="A41" s="110" t="s">
        <v>254</v>
      </c>
      <c r="B41" s="110"/>
      <c r="C41" s="110">
        <f>IF((ROUNDDOWN((C40-(62+C13-36)*C30-62-C31-168+C28*24)/(C30+3),0)-12)&gt;C42,C42,ROUNDDOWN((C40-(62+C13-36)*C30-62-C31-168+C28*24)/(C30+3),0)-12)</f>
        <v>180000</v>
      </c>
    </row>
    <row r="42" spans="1:3" hidden="1">
      <c r="A42" s="110" t="s">
        <v>255</v>
      </c>
      <c r="B42" s="110"/>
      <c r="C42" s="110">
        <f>IF(C18=1000,180000,18000)</f>
        <v>180000</v>
      </c>
    </row>
    <row r="43" spans="1:3" hidden="1">
      <c r="A43" s="110" t="s">
        <v>256</v>
      </c>
      <c r="B43" s="110"/>
      <c r="C43" s="110">
        <f>((62+(C13-36))*C30+62+C31+168)+(C14+12)*(C30+3)</f>
        <v>408676</v>
      </c>
    </row>
    <row r="44" spans="1:3" hidden="1">
      <c r="A44" s="110" t="s">
        <v>253</v>
      </c>
      <c r="B44" s="110"/>
      <c r="C44" s="110">
        <f>125000*C18</f>
        <v>125000000</v>
      </c>
    </row>
    <row r="45" spans="1:3" hidden="1">
      <c r="A45" s="110" t="s">
        <v>257</v>
      </c>
      <c r="B45" s="110"/>
      <c r="C45" s="110">
        <f>IF((100-ROUNDDOWN(C43*10/(1250000*C18/10),0)-1)&lt;0,0,(100-ROUNDDOWN(C43*10/(1250000*C18/10),0)-1))</f>
        <v>99</v>
      </c>
    </row>
    <row r="46" spans="1:3" hidden="1">
      <c r="A46" s="110" t="s">
        <v>258</v>
      </c>
      <c r="B46" s="110"/>
      <c r="C46" s="110">
        <f>ROUNDDOWN((C40-(62+C13-36)*C30-62-C31-168+C28*24)/(C30+3),0)-12</f>
        <v>4429445</v>
      </c>
    </row>
    <row r="47" spans="1:3" hidden="1">
      <c r="A47" s="110" t="s">
        <v>259</v>
      </c>
      <c r="B47" s="110"/>
      <c r="C47" s="110">
        <f>IF(C12=8,5340,10679)</f>
        <v>5340</v>
      </c>
    </row>
    <row r="48" spans="1:3" hidden="1">
      <c r="A48" s="110" t="s">
        <v>260</v>
      </c>
      <c r="B48" s="110"/>
      <c r="C48" s="110">
        <f>448*ROUNDUP(C12/8,0)</f>
        <v>448</v>
      </c>
    </row>
    <row r="49" spans="1:4" s="100" customFormat="1" ht="15" hidden="1" customHeight="1">
      <c r="A49" s="644" t="s">
        <v>261</v>
      </c>
      <c r="B49" s="644"/>
      <c r="C49" s="644">
        <f>ROUNDUP(C47*C38/1000,0)</f>
        <v>10082</v>
      </c>
    </row>
    <row r="50" spans="1:4" s="100" customFormat="1" ht="15" hidden="1" customHeight="1">
      <c r="A50" s="109"/>
      <c r="B50" s="109"/>
      <c r="C50" s="109"/>
    </row>
    <row r="51" spans="1:4" hidden="1">
      <c r="A51" s="110" t="s">
        <v>262</v>
      </c>
      <c r="B51" s="110"/>
      <c r="C51" s="110">
        <f>ROUNDDOWN(720/(4*C53),0)*4</f>
        <v>720</v>
      </c>
    </row>
    <row r="52" spans="1:4" hidden="1">
      <c r="A52" s="110" t="s">
        <v>263</v>
      </c>
      <c r="B52" s="110"/>
      <c r="C52" s="110">
        <f>ROUNDDOWN(540/(2*C54),0)*2</f>
        <v>540</v>
      </c>
    </row>
    <row r="53" spans="1:4" hidden="1">
      <c r="A53" s="110" t="s">
        <v>264</v>
      </c>
      <c r="B53" s="110"/>
      <c r="C53" s="110">
        <f>IF(C6=1,C8,C6)</f>
        <v>1</v>
      </c>
    </row>
    <row r="54" spans="1:4" hidden="1">
      <c r="A54" s="110" t="s">
        <v>265</v>
      </c>
      <c r="B54" s="110"/>
      <c r="C54" s="110">
        <f>IF(C7=1,C9,C7)</f>
        <v>1</v>
      </c>
    </row>
    <row r="55" spans="1:4" hidden="1">
      <c r="A55" s="110" t="s">
        <v>266</v>
      </c>
      <c r="B55" s="110"/>
      <c r="C55" s="110">
        <f>ROUNDDOWN(C59/4,0)*4*C53</f>
        <v>720</v>
      </c>
    </row>
    <row r="56" spans="1:4" hidden="1">
      <c r="A56" s="110" t="s">
        <v>267</v>
      </c>
      <c r="B56" s="110"/>
      <c r="C56" s="110">
        <f>ROUNDDOWN(C60/2,0)*2*C54</f>
        <v>540</v>
      </c>
    </row>
    <row r="57" spans="1:4" hidden="1">
      <c r="A57" s="110" t="s">
        <v>268</v>
      </c>
      <c r="B57" s="110"/>
      <c r="C57" s="110">
        <f>ROUNDDOWN(C4/4,0)*4*C53</f>
        <v>720</v>
      </c>
    </row>
    <row r="58" spans="1:4" hidden="1">
      <c r="A58" s="110" t="s">
        <v>269</v>
      </c>
      <c r="B58" s="110"/>
      <c r="C58" s="110">
        <f>ROUNDDOWN(C5/2,0)*2*C54</f>
        <v>540</v>
      </c>
    </row>
    <row r="59" spans="1:4" hidden="1">
      <c r="A59" s="110" t="s">
        <v>270</v>
      </c>
      <c r="B59" s="110"/>
      <c r="C59" s="110">
        <f>ROUNDDOWN(C57/(4*C53),0)*4</f>
        <v>720</v>
      </c>
    </row>
    <row r="60" spans="1:4" hidden="1">
      <c r="A60" s="110" t="s">
        <v>271</v>
      </c>
      <c r="B60" s="110"/>
      <c r="C60" s="110">
        <f>ROUNDDOWN(C58/(2*C54),0)*2</f>
        <v>540</v>
      </c>
    </row>
    <row r="61" spans="1:4">
      <c r="A61" s="110"/>
      <c r="B61" s="110"/>
      <c r="C61" s="110"/>
    </row>
    <row r="62" spans="1:4" ht="14.25">
      <c r="A62" s="118" t="s">
        <v>272</v>
      </c>
      <c r="B62" s="118"/>
      <c r="C62" s="118"/>
    </row>
    <row r="63" spans="1:4" ht="14.25">
      <c r="A63" s="118" t="s">
        <v>252</v>
      </c>
      <c r="B63" s="118" t="s">
        <v>273</v>
      </c>
      <c r="C63" s="118">
        <f>ROUND(C39,2)</f>
        <v>99.19</v>
      </c>
      <c r="D63" s="105" t="str">
        <f>IF(J74=1,J70,"")</f>
        <v/>
      </c>
    </row>
    <row r="67" spans="1:10" ht="27">
      <c r="J67" s="119" t="s">
        <v>274</v>
      </c>
    </row>
    <row r="68" spans="1:10">
      <c r="J68" s="259" t="s">
        <v>275</v>
      </c>
    </row>
    <row r="69" spans="1:10">
      <c r="J69" s="259" t="s">
        <v>276</v>
      </c>
    </row>
    <row r="70" spans="1:10">
      <c r="J70" s="259" t="s">
        <v>277</v>
      </c>
    </row>
    <row r="73" spans="1:10">
      <c r="J73" t="s">
        <v>278</v>
      </c>
    </row>
    <row r="74" spans="1:10">
      <c r="A74" t="str">
        <f>IF(J101=1,J97,"")</f>
        <v/>
      </c>
      <c r="J74" s="675">
        <f>IF(OR(OR(C4&gt;C2,C4&lt;8),OR(C5&gt;C3,C5&lt;2)),1,0)</f>
        <v>0</v>
      </c>
    </row>
  </sheetData>
  <sheetProtection algorithmName="SHA-512" hashValue="zyHpBRi6kwcv867MT+rLRaYl4NPzeVNuIlVCrd9YoR4NVNDqzJrMA7QiH5Uj9rK1d3E44IRBZXafo9zO2Y/SVg==" saltValue="JCC9fT5Uu0BoQ9J85cmquw==" spinCount="100000" sheet="1" objects="1" scenarios="1" selectLockedCells="1"/>
  <phoneticPr fontId="37" type="noConversion"/>
  <dataValidations count="19"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="Input range:[2,'HeightMax'],and is an integer multiple of 2" sqref="C5">
      <formula1>AND((C5&lt;=C3),(C5&gt;=2),(MOD(C5,2)=0))</formula1>
    </dataValidation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custom" allowBlank="1" showInputMessage="1" showErrorMessage="1" error="Input 1 or 2, and can not be entered when the 'BinningVertical' is not 1" sqref="C9">
      <formula1>AND(OR((C9=1),(C9=2)),C7=1)</formula1>
    </dataValidation>
    <dataValidation type="custom" allowBlank="1" showInputMessage="1" showErrorMessage="1" error="Input 1 or 2, and can not be entered when the 'DecimationHorizontal' is not 1" sqref="C6">
      <formula1>AND(OR((C6=1),(C6=2)),C8=1)</formula1>
    </dataValidation>
    <dataValidation type="custom" allowBlank="1" showInputMessage="1" showErrorMessage="1" error="Input 1 or 2, and can not be entered when the 'DecimationVertical' is not 1" sqref="C7">
      <formula1>AND(OR((C7=1),(C7=2)),C9=1)</formula1>
    </dataValidation>
    <dataValidation type="whole" allowBlank="1" showInputMessage="1" showErrorMessage="1" error="The input range :[20,15000000]" sqref="C10">
      <formula1>20</formula1>
      <formula2>15000000</formula2>
    </dataValidation>
    <dataValidation type="custom" allowBlank="1" showInputMessage="1" showErrorMessage="1" error="Input 1 or 2, and can not be entered when the 'BinningHorizontal' is not 1" sqref="C8">
      <formula1>AND(OR((C8=1),(C8=2)),C6=1)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Please enter 8 or 12" sqref="C12">
      <formula1>OR((C12=8),(C12=12))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ErrorMessage="1" error="Set the value to exceed the maximum" prompt="应在包间隔范围内" sqref="C15">
      <formula1>0</formula1>
      <formula2>C41</formula2>
    </dataValidation>
    <dataValidation type="custom" allowBlank="1" showErrorMessage="1" error="Set the value range :[ 0.1,10000.0], accurate to one decimal" prompt="应在包间隔范围内" sqref="C16">
      <formula1>AND(TRUNC(C16,1)=C16,(C16&gt;=0.1),(C16&lt;=10000))</formula1>
    </dataValidation>
    <dataValidation type="custom" allowBlank="1" showErrorMessage="1" error="Please enter a 0 or 1" prompt="应在包间隔范围内" sqref="C17">
      <formula1>OR((C17=0),(C17=1))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whole" allowBlank="1" showErrorMessage="1" error="The setting value exceeds the reserved bandwidth range" prompt="设置值应在预留带宽范围内" sqref="C20">
      <formula1>0</formula1>
      <formula2>C45</formula2>
    </dataValidation>
  </dataValidations>
  <pageMargins left="0.7" right="0.7" top="0.75" bottom="0.75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2"/>
  <sheetViews>
    <sheetView workbookViewId="0">
      <selection activeCell="B17" sqref="B17"/>
    </sheetView>
  </sheetViews>
  <sheetFormatPr defaultColWidth="9" defaultRowHeight="13.5"/>
  <cols>
    <col min="1" max="1" width="29" style="137" customWidth="1"/>
    <col min="2" max="2" width="19" style="137" customWidth="1"/>
    <col min="3" max="3" width="23.125" style="137" customWidth="1"/>
    <col min="4" max="4" width="19" style="137" customWidth="1"/>
    <col min="5" max="6" width="10" style="137" customWidth="1"/>
    <col min="7" max="7" width="6.125" style="137" customWidth="1"/>
    <col min="8" max="8" width="15.125" style="137" customWidth="1"/>
    <col min="9" max="9" width="24.5" style="137" customWidth="1"/>
    <col min="10" max="10" width="28.625" style="137" customWidth="1"/>
    <col min="11" max="11" width="16.125" style="137" customWidth="1"/>
    <col min="12" max="12" width="7.5" style="137" customWidth="1"/>
    <col min="13" max="13" width="4.5" style="137" customWidth="1"/>
    <col min="14" max="14" width="19.625" style="137" customWidth="1"/>
    <col min="15" max="15" width="27.25" style="137" customWidth="1"/>
    <col min="16" max="16" width="29" style="137" customWidth="1"/>
    <col min="17" max="17" width="12.75" style="137" customWidth="1"/>
    <col min="18" max="18" width="9.625" style="137" customWidth="1"/>
    <col min="19" max="19" width="4.875" style="137" customWidth="1"/>
    <col min="20" max="20" width="17" style="137" customWidth="1"/>
    <col min="21" max="22" width="15.625" style="137" customWidth="1"/>
    <col min="23" max="23" width="15.75" style="137" customWidth="1"/>
    <col min="24" max="24" width="16.375" style="137" customWidth="1"/>
    <col min="25" max="25" width="18.875" style="137" customWidth="1"/>
    <col min="26" max="26" width="14.875" style="137" customWidth="1"/>
    <col min="27" max="27" width="15.25" style="137" customWidth="1"/>
    <col min="28" max="28" width="20.5" style="137" customWidth="1"/>
    <col min="29" max="29" width="22" style="137" customWidth="1"/>
    <col min="30" max="30" width="21.625" style="137" customWidth="1"/>
    <col min="31" max="31" width="20.625" style="137" customWidth="1"/>
    <col min="32" max="32" width="10" style="137" customWidth="1"/>
    <col min="33" max="33" width="9.75" style="137" customWidth="1"/>
    <col min="34" max="34" width="13.25" style="137" customWidth="1"/>
    <col min="35" max="35" width="13.875" style="137" customWidth="1"/>
    <col min="36" max="36" width="12.5" style="137" customWidth="1"/>
    <col min="37" max="37" width="23.875" style="137" customWidth="1"/>
    <col min="38" max="38" width="22.125" style="137" customWidth="1"/>
    <col min="39" max="39" width="17.5" style="137" customWidth="1"/>
    <col min="40" max="16384" width="9" style="137"/>
  </cols>
  <sheetData>
    <row r="1" spans="1:3">
      <c r="A1" s="138"/>
      <c r="B1" s="138"/>
    </row>
    <row r="2" spans="1:3">
      <c r="A2" s="104" t="s">
        <v>199</v>
      </c>
      <c r="B2" s="139">
        <f>D51/B6</f>
        <v>5120</v>
      </c>
    </row>
    <row r="3" spans="1:3">
      <c r="A3" s="104" t="s">
        <v>201</v>
      </c>
      <c r="B3" s="139">
        <f>D52/B7</f>
        <v>5120</v>
      </c>
    </row>
    <row r="4" spans="1:3">
      <c r="A4" s="138" t="s">
        <v>203</v>
      </c>
      <c r="B4" s="140">
        <v>5120</v>
      </c>
      <c r="C4" s="141" t="str">
        <f>IF(OR(B4&gt;B2,B4&lt;4),H24,"")</f>
        <v/>
      </c>
    </row>
    <row r="5" spans="1:3">
      <c r="A5" s="138" t="s">
        <v>205</v>
      </c>
      <c r="B5" s="140">
        <v>5120</v>
      </c>
      <c r="C5" s="141" t="str">
        <f>IF(OR(B5&gt;B3,B5&lt;2),H25,"")</f>
        <v/>
      </c>
    </row>
    <row r="6" spans="1:3">
      <c r="A6" s="104" t="s">
        <v>211</v>
      </c>
      <c r="B6" s="142">
        <v>1</v>
      </c>
    </row>
    <row r="7" spans="1:3">
      <c r="A7" s="104" t="s">
        <v>213</v>
      </c>
      <c r="B7" s="142">
        <v>1</v>
      </c>
    </row>
    <row r="8" spans="1:3">
      <c r="A8" s="138" t="s">
        <v>215</v>
      </c>
      <c r="B8" s="140">
        <v>60000</v>
      </c>
    </row>
    <row r="9" spans="1:3">
      <c r="A9" s="138" t="s">
        <v>217</v>
      </c>
      <c r="B9" s="143">
        <v>0</v>
      </c>
    </row>
    <row r="10" spans="1:3">
      <c r="A10" s="138" t="s">
        <v>219</v>
      </c>
      <c r="B10" s="140">
        <v>8</v>
      </c>
    </row>
    <row r="11" spans="1:3">
      <c r="A11" s="138" t="s">
        <v>221</v>
      </c>
      <c r="B11" s="140">
        <v>1500</v>
      </c>
    </row>
    <row r="12" spans="1:3">
      <c r="A12" s="138" t="s">
        <v>223</v>
      </c>
      <c r="B12" s="140">
        <v>0</v>
      </c>
    </row>
    <row r="13" spans="1:3">
      <c r="A13" s="138" t="s">
        <v>225</v>
      </c>
      <c r="B13" s="144">
        <f>K59</f>
        <v>61279</v>
      </c>
    </row>
    <row r="14" spans="1:3">
      <c r="A14" s="138" t="s">
        <v>227</v>
      </c>
      <c r="B14" s="140">
        <v>4.5</v>
      </c>
    </row>
    <row r="15" spans="1:3">
      <c r="A15" s="138" t="s">
        <v>229</v>
      </c>
      <c r="B15" s="140">
        <v>0</v>
      </c>
    </row>
    <row r="16" spans="1:3">
      <c r="A16" s="138" t="s">
        <v>231</v>
      </c>
      <c r="B16" s="140">
        <v>1000</v>
      </c>
    </row>
    <row r="17" spans="1:8">
      <c r="A17" s="138" t="s">
        <v>233</v>
      </c>
      <c r="B17" s="140">
        <v>10</v>
      </c>
    </row>
    <row r="18" spans="1:8">
      <c r="A18" s="138" t="s">
        <v>235</v>
      </c>
      <c r="B18" s="144">
        <f>K61</f>
        <v>97</v>
      </c>
    </row>
    <row r="19" spans="1:8">
      <c r="A19" s="138"/>
      <c r="B19" s="144"/>
    </row>
    <row r="20" spans="1:8" ht="14.25">
      <c r="A20" s="145"/>
      <c r="B20" s="146"/>
    </row>
    <row r="21" spans="1:8" ht="14.25">
      <c r="A21" s="145" t="s">
        <v>273</v>
      </c>
      <c r="B21" s="147">
        <f>K43</f>
        <v>4.0849673202614376</v>
      </c>
      <c r="C21" s="141" t="str">
        <f>IF(H30,H26,"")</f>
        <v/>
      </c>
    </row>
    <row r="23" spans="1:8" ht="27" hidden="1">
      <c r="H23" s="119" t="s">
        <v>274</v>
      </c>
    </row>
    <row r="24" spans="1:8" hidden="1">
      <c r="H24" s="115" t="s">
        <v>1125</v>
      </c>
    </row>
    <row r="25" spans="1:8" hidden="1">
      <c r="H25" s="115" t="s">
        <v>276</v>
      </c>
    </row>
    <row r="26" spans="1:8" hidden="1">
      <c r="H26" t="s">
        <v>277</v>
      </c>
    </row>
    <row r="27" spans="1:8" hidden="1">
      <c r="H27"/>
    </row>
    <row r="28" spans="1:8" hidden="1">
      <c r="H28"/>
    </row>
    <row r="29" spans="1:8" hidden="1">
      <c r="H29" t="s">
        <v>278</v>
      </c>
    </row>
    <row r="30" spans="1:8" hidden="1">
      <c r="H30">
        <f>IF(OR(OR(B4&gt;B2,B4&lt;4),OR(B5&gt;B3,B5&lt;2)),1,0)</f>
        <v>0</v>
      </c>
    </row>
    <row r="31" spans="1:8" hidden="1"/>
    <row r="32" spans="1:8" hidden="1"/>
    <row r="33" spans="2:44" hidden="1"/>
    <row r="34" spans="2:44" hidden="1"/>
    <row r="35" spans="2:44" hidden="1"/>
    <row r="36" spans="2:44" hidden="1"/>
    <row r="37" spans="2:44" hidden="1">
      <c r="B37" s="148"/>
      <c r="C37" s="148"/>
      <c r="E37" s="148"/>
      <c r="F37" s="148"/>
      <c r="T37" s="148"/>
      <c r="U37" s="148"/>
      <c r="V37" s="148"/>
      <c r="W37" s="148"/>
      <c r="X37" s="148"/>
      <c r="Y37" s="148"/>
    </row>
    <row r="38" spans="2:44" hidden="1">
      <c r="B38" s="149" t="s">
        <v>430</v>
      </c>
      <c r="C38" s="149" t="s">
        <v>431</v>
      </c>
      <c r="D38" s="150" t="s">
        <v>1126</v>
      </c>
      <c r="E38" s="151"/>
      <c r="F38" s="151"/>
      <c r="G38" s="151"/>
      <c r="H38" s="861" t="s">
        <v>435</v>
      </c>
      <c r="I38" s="862"/>
      <c r="J38" s="862"/>
      <c r="K38" s="862"/>
      <c r="L38" s="863"/>
      <c r="M38" s="176"/>
      <c r="N38" s="861" t="s">
        <v>656</v>
      </c>
      <c r="O38" s="862"/>
      <c r="P38" s="862"/>
      <c r="Q38" s="862"/>
      <c r="R38" s="863"/>
      <c r="S38" s="176"/>
      <c r="T38" s="864" t="s">
        <v>657</v>
      </c>
      <c r="U38" s="865"/>
      <c r="V38" s="865"/>
      <c r="W38" s="865"/>
      <c r="X38" s="865"/>
      <c r="Y38" s="865"/>
      <c r="Z38" s="865"/>
      <c r="AA38" s="865"/>
      <c r="AB38" s="865"/>
      <c r="AC38" s="865"/>
      <c r="AD38" s="865"/>
      <c r="AE38" s="865"/>
      <c r="AF38" s="865"/>
      <c r="AG38" s="865"/>
      <c r="AH38" s="865"/>
      <c r="AI38" s="865"/>
      <c r="AJ38" s="865"/>
      <c r="AK38" s="865"/>
      <c r="AL38" s="865"/>
      <c r="AM38" s="865"/>
      <c r="AN38" s="865"/>
      <c r="AO38" s="865"/>
      <c r="AP38" s="865"/>
      <c r="AQ38" s="865"/>
      <c r="AR38" s="866"/>
    </row>
    <row r="39" spans="2:44" ht="54" hidden="1">
      <c r="B39" s="861" t="s">
        <v>658</v>
      </c>
      <c r="C39" s="862"/>
      <c r="D39" s="862"/>
      <c r="E39" s="862"/>
      <c r="F39" s="863"/>
      <c r="G39" s="151"/>
      <c r="H39" s="746" t="s">
        <v>252</v>
      </c>
      <c r="I39" s="730"/>
      <c r="J39" s="730"/>
      <c r="K39" s="730"/>
      <c r="L39" s="747"/>
      <c r="M39" s="176"/>
      <c r="N39" s="746" t="s">
        <v>1127</v>
      </c>
      <c r="O39" s="730"/>
      <c r="P39" s="730"/>
      <c r="Q39" s="730"/>
      <c r="R39" s="747"/>
      <c r="S39" s="176"/>
      <c r="T39" s="251" t="s">
        <v>660</v>
      </c>
      <c r="U39" s="252" t="s">
        <v>661</v>
      </c>
      <c r="V39" s="252" t="s">
        <v>1128</v>
      </c>
      <c r="W39" s="252" t="s">
        <v>1129</v>
      </c>
      <c r="X39" s="252" t="s">
        <v>664</v>
      </c>
      <c r="Y39" s="252" t="s">
        <v>665</v>
      </c>
      <c r="Z39" s="252" t="s">
        <v>1067</v>
      </c>
      <c r="AA39" s="252" t="s">
        <v>1068</v>
      </c>
      <c r="AB39" s="252" t="s">
        <v>1069</v>
      </c>
      <c r="AC39" s="252" t="s">
        <v>1070</v>
      </c>
      <c r="AD39" s="252" t="s">
        <v>1071</v>
      </c>
      <c r="AE39" s="252" t="s">
        <v>1072</v>
      </c>
      <c r="AF39" s="252" t="s">
        <v>1130</v>
      </c>
      <c r="AG39" s="252" t="s">
        <v>1131</v>
      </c>
      <c r="AH39" s="252" t="s">
        <v>1132</v>
      </c>
      <c r="AI39" s="252" t="s">
        <v>1133</v>
      </c>
      <c r="AJ39" s="252" t="s">
        <v>1134</v>
      </c>
      <c r="AK39" s="252" t="s">
        <v>1135</v>
      </c>
      <c r="AL39" s="252" t="s">
        <v>1136</v>
      </c>
      <c r="AM39" s="254" t="s">
        <v>1137</v>
      </c>
      <c r="AN39" s="252" t="s">
        <v>1138</v>
      </c>
      <c r="AO39" s="252" t="s">
        <v>1139</v>
      </c>
      <c r="AP39" s="252" t="s">
        <v>1140</v>
      </c>
      <c r="AQ39" s="252" t="s">
        <v>1141</v>
      </c>
      <c r="AR39" s="255" t="s">
        <v>1142</v>
      </c>
    </row>
    <row r="40" spans="2:44" ht="27" hidden="1">
      <c r="B40" s="234" t="s">
        <v>444</v>
      </c>
      <c r="C40" s="235" t="s">
        <v>438</v>
      </c>
      <c r="D40" s="235" t="s">
        <v>445</v>
      </c>
      <c r="E40" s="235" t="s">
        <v>442</v>
      </c>
      <c r="F40" s="236" t="s">
        <v>449</v>
      </c>
      <c r="G40" s="151"/>
      <c r="H40" s="237" t="s">
        <v>444</v>
      </c>
      <c r="I40" s="241" t="s">
        <v>438</v>
      </c>
      <c r="J40" s="241" t="s">
        <v>447</v>
      </c>
      <c r="K40" s="241" t="s">
        <v>448</v>
      </c>
      <c r="L40" s="242" t="s">
        <v>449</v>
      </c>
      <c r="M40" s="176"/>
      <c r="N40" s="234" t="s">
        <v>444</v>
      </c>
      <c r="O40" s="235" t="s">
        <v>438</v>
      </c>
      <c r="P40" s="235" t="s">
        <v>447</v>
      </c>
      <c r="Q40" s="235" t="s">
        <v>688</v>
      </c>
      <c r="R40" s="253" t="s">
        <v>449</v>
      </c>
      <c r="S40" s="176"/>
      <c r="T40" s="198" t="s">
        <v>1126</v>
      </c>
      <c r="U40" s="199" t="s">
        <v>1143</v>
      </c>
      <c r="V40" s="199">
        <v>60</v>
      </c>
      <c r="W40" s="199">
        <v>50</v>
      </c>
      <c r="X40" s="200">
        <v>1</v>
      </c>
      <c r="Y40" s="200">
        <v>4</v>
      </c>
      <c r="Z40" s="200">
        <v>128</v>
      </c>
      <c r="AA40" s="200">
        <v>4</v>
      </c>
      <c r="AB40" s="199">
        <v>5376</v>
      </c>
      <c r="AC40" s="199">
        <v>1</v>
      </c>
      <c r="AD40" s="199">
        <v>5376</v>
      </c>
      <c r="AE40" s="199">
        <v>5184</v>
      </c>
      <c r="AF40" s="200">
        <f>ROUNDUP((6*AG40/$Q$41)*1000,0)+ROUNDUP(2*$K$41,0)</f>
        <v>74400</v>
      </c>
      <c r="AG40" s="216">
        <f>IF(E42=8,124,248)</f>
        <v>124</v>
      </c>
      <c r="AH40" s="216">
        <v>12</v>
      </c>
      <c r="AI40" s="216">
        <v>2</v>
      </c>
      <c r="AJ40" s="216">
        <v>636</v>
      </c>
      <c r="AK40" s="216">
        <v>6</v>
      </c>
      <c r="AL40" s="216">
        <v>14</v>
      </c>
      <c r="AM40" s="217">
        <v>2</v>
      </c>
      <c r="AN40" s="199" t="s">
        <v>692</v>
      </c>
      <c r="AO40" s="199">
        <v>60000</v>
      </c>
      <c r="AP40" s="216">
        <v>5120</v>
      </c>
      <c r="AQ40" s="216">
        <v>5120</v>
      </c>
      <c r="AR40" s="219">
        <v>4</v>
      </c>
    </row>
    <row r="41" spans="2:44" ht="27" hidden="1">
      <c r="B41" s="746" t="s">
        <v>218</v>
      </c>
      <c r="C41" s="730"/>
      <c r="D41" s="730"/>
      <c r="E41" s="730"/>
      <c r="F41" s="747"/>
      <c r="G41" s="151"/>
      <c r="H41" s="156" t="s">
        <v>321</v>
      </c>
      <c r="I41" s="175" t="s">
        <v>320</v>
      </c>
      <c r="J41" s="179" t="s">
        <v>1144</v>
      </c>
      <c r="K41" s="243">
        <f>ROUNDUP(1000*Q44*Q42/Q41,0)</f>
        <v>29760</v>
      </c>
      <c r="L41" s="156" t="s">
        <v>461</v>
      </c>
      <c r="M41" s="176"/>
      <c r="N41" s="157" t="s">
        <v>288</v>
      </c>
      <c r="O41" s="158" t="s">
        <v>287</v>
      </c>
      <c r="P41" s="158" t="s">
        <v>1145</v>
      </c>
      <c r="Q41" s="245">
        <f>VLOOKUP($D$38,$T$40:$AR$43,4,FALSE)</f>
        <v>50</v>
      </c>
      <c r="R41" s="184" t="s">
        <v>626</v>
      </c>
      <c r="S41" s="176"/>
      <c r="T41" s="201"/>
      <c r="U41" s="201"/>
      <c r="V41" s="201"/>
      <c r="W41" s="201"/>
      <c r="X41" s="202"/>
      <c r="Y41" s="202"/>
      <c r="Z41" s="202"/>
      <c r="AA41" s="202"/>
      <c r="AB41" s="201"/>
      <c r="AC41" s="201"/>
      <c r="AD41" s="201"/>
      <c r="AE41" s="201"/>
      <c r="AF41" s="202"/>
      <c r="AG41" s="212"/>
      <c r="AH41" s="212"/>
      <c r="AI41" s="212"/>
      <c r="AJ41" s="212"/>
      <c r="AK41" s="212"/>
      <c r="AL41" s="212"/>
      <c r="AM41" s="201"/>
      <c r="AN41" s="201"/>
      <c r="AO41" s="201"/>
      <c r="AP41" s="212"/>
      <c r="AQ41" s="212"/>
      <c r="AR41" s="201"/>
    </row>
    <row r="42" spans="2:44" ht="40.5" hidden="1">
      <c r="B42" s="157" t="s">
        <v>1146</v>
      </c>
      <c r="C42" s="158" t="s">
        <v>218</v>
      </c>
      <c r="D42" s="158">
        <v>8</v>
      </c>
      <c r="E42" s="238">
        <f>B10</f>
        <v>8</v>
      </c>
      <c r="F42" s="160" t="s">
        <v>594</v>
      </c>
      <c r="G42" s="151"/>
      <c r="H42" s="156" t="s">
        <v>1147</v>
      </c>
      <c r="I42" s="175" t="s">
        <v>251</v>
      </c>
      <c r="J42" s="179" t="s">
        <v>1148</v>
      </c>
      <c r="K42" s="243">
        <f>MAX(K45,K46,K47,K48)+K53</f>
        <v>244800</v>
      </c>
      <c r="L42" s="156" t="s">
        <v>478</v>
      </c>
      <c r="M42" s="166"/>
      <c r="N42" s="157" t="s">
        <v>1149</v>
      </c>
      <c r="O42" s="158" t="s">
        <v>1149</v>
      </c>
      <c r="P42" s="158" t="s">
        <v>1145</v>
      </c>
      <c r="Q42" s="245">
        <f>VLOOKUP($D$38,$T$40:$AR$43,14,FALSE)</f>
        <v>124</v>
      </c>
      <c r="R42" s="184" t="s">
        <v>704</v>
      </c>
      <c r="S42" s="166"/>
      <c r="T42" s="201"/>
      <c r="U42" s="201"/>
      <c r="V42" s="201"/>
      <c r="W42" s="201"/>
      <c r="X42" s="202"/>
      <c r="Y42" s="202"/>
      <c r="Z42" s="202"/>
      <c r="AA42" s="202"/>
      <c r="AB42" s="201"/>
      <c r="AC42" s="201"/>
      <c r="AD42" s="201"/>
      <c r="AE42" s="201"/>
      <c r="AF42" s="202"/>
      <c r="AG42" s="212"/>
      <c r="AH42" s="212"/>
      <c r="AI42" s="212"/>
      <c r="AJ42" s="212"/>
      <c r="AK42" s="212"/>
      <c r="AL42" s="212"/>
      <c r="AM42" s="201"/>
      <c r="AN42" s="201"/>
      <c r="AO42" s="201"/>
      <c r="AP42" s="212"/>
      <c r="AQ42" s="212"/>
      <c r="AR42" s="201"/>
    </row>
    <row r="43" spans="2:44" hidden="1">
      <c r="B43" s="746" t="s">
        <v>214</v>
      </c>
      <c r="C43" s="730"/>
      <c r="D43" s="730"/>
      <c r="E43" s="730"/>
      <c r="F43" s="747"/>
      <c r="G43" s="151"/>
      <c r="H43" s="156" t="s">
        <v>1150</v>
      </c>
      <c r="I43" s="175" t="s">
        <v>252</v>
      </c>
      <c r="J43" s="179" t="s">
        <v>1151</v>
      </c>
      <c r="K43" s="244">
        <f>1000000/K42</f>
        <v>4.0849673202614376</v>
      </c>
      <c r="L43" s="156" t="s">
        <v>488</v>
      </c>
      <c r="M43" s="166"/>
      <c r="N43" s="157" t="s">
        <v>1152</v>
      </c>
      <c r="O43" s="158" t="s">
        <v>299</v>
      </c>
      <c r="P43" s="158" t="s">
        <v>1145</v>
      </c>
      <c r="Q43" s="245">
        <f>VLOOKUP($D$38,$T$40:$AR$43,13,FALSE)</f>
        <v>74400</v>
      </c>
      <c r="R43" s="184" t="s">
        <v>461</v>
      </c>
      <c r="S43" s="166"/>
      <c r="T43" s="201"/>
      <c r="U43" s="201"/>
      <c r="V43" s="201"/>
      <c r="W43" s="201"/>
      <c r="X43" s="202"/>
      <c r="Y43" s="202"/>
      <c r="Z43" s="202"/>
      <c r="AA43" s="202"/>
      <c r="AB43" s="201"/>
      <c r="AC43" s="201"/>
      <c r="AD43" s="201"/>
      <c r="AE43" s="201"/>
      <c r="AF43" s="212"/>
      <c r="AG43" s="212"/>
      <c r="AH43" s="212"/>
      <c r="AI43" s="212"/>
      <c r="AJ43" s="212"/>
      <c r="AK43" s="212"/>
      <c r="AL43" s="212"/>
      <c r="AM43" s="201"/>
      <c r="AN43" s="201"/>
      <c r="AO43" s="201"/>
      <c r="AP43" s="212"/>
      <c r="AQ43" s="212"/>
      <c r="AR43" s="201"/>
    </row>
    <row r="44" spans="2:44" hidden="1">
      <c r="B44" s="157" t="s">
        <v>805</v>
      </c>
      <c r="C44" s="158" t="s">
        <v>214</v>
      </c>
      <c r="D44" s="158">
        <f>VLOOKUP($D$38,$T$40:$AR$43,22,FALSE)</f>
        <v>60000</v>
      </c>
      <c r="E44" s="238">
        <f>B8</f>
        <v>60000</v>
      </c>
      <c r="F44" s="161" t="s">
        <v>478</v>
      </c>
      <c r="G44" s="151"/>
      <c r="H44" s="746" t="s">
        <v>510</v>
      </c>
      <c r="I44" s="730"/>
      <c r="J44" s="730"/>
      <c r="K44" s="730"/>
      <c r="L44" s="747"/>
      <c r="M44" s="166"/>
      <c r="N44" s="157" t="s">
        <v>1153</v>
      </c>
      <c r="O44" s="158" t="s">
        <v>1154</v>
      </c>
      <c r="P44" s="158" t="s">
        <v>1145</v>
      </c>
      <c r="Q44" s="245">
        <f>VLOOKUP($D$38,$T$40:$AR$43,15,FALSE)</f>
        <v>12</v>
      </c>
      <c r="R44" s="184" t="s">
        <v>594</v>
      </c>
      <c r="S44" s="166"/>
      <c r="T44" s="59"/>
      <c r="U44" s="59"/>
      <c r="V44" s="59"/>
      <c r="W44" s="59"/>
      <c r="X44" s="59"/>
      <c r="Y44" s="59"/>
      <c r="Z44" s="59"/>
      <c r="AA44" s="59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</row>
    <row r="45" spans="2:44" ht="54" hidden="1">
      <c r="B45" s="157" t="s">
        <v>800</v>
      </c>
      <c r="C45" s="158" t="s">
        <v>216</v>
      </c>
      <c r="D45" s="158">
        <v>0</v>
      </c>
      <c r="E45" s="238">
        <f>B9</f>
        <v>0</v>
      </c>
      <c r="F45" s="161" t="s">
        <v>478</v>
      </c>
      <c r="G45" s="151"/>
      <c r="H45" s="156" t="s">
        <v>516</v>
      </c>
      <c r="I45" s="175" t="s">
        <v>517</v>
      </c>
      <c r="J45" s="179" t="s">
        <v>1155</v>
      </c>
      <c r="K45" s="243">
        <f>ROUNDUP(((E52+Q45+Q49)*K41+Q43)/1000,0)</f>
        <v>152922</v>
      </c>
      <c r="L45" s="182" t="s">
        <v>478</v>
      </c>
      <c r="M45" s="166"/>
      <c r="N45" s="157" t="s">
        <v>629</v>
      </c>
      <c r="O45" s="158" t="s">
        <v>630</v>
      </c>
      <c r="P45" s="158" t="s">
        <v>1145</v>
      </c>
      <c r="Q45" s="245">
        <f>VLOOKUP($D$38,$T$40:$AR$43,19,FALSE)</f>
        <v>14</v>
      </c>
      <c r="R45" s="203" t="s">
        <v>469</v>
      </c>
      <c r="S45" s="166"/>
      <c r="T45" s="59"/>
      <c r="U45" s="59"/>
      <c r="V45" s="59"/>
      <c r="W45" s="59"/>
      <c r="X45" s="59"/>
      <c r="Y45" s="59"/>
      <c r="Z45" s="59"/>
      <c r="AA45" s="59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</row>
    <row r="46" spans="2:44" ht="27" hidden="1">
      <c r="B46" s="746" t="s">
        <v>747</v>
      </c>
      <c r="C46" s="730"/>
      <c r="D46" s="730"/>
      <c r="E46" s="730"/>
      <c r="F46" s="747"/>
      <c r="G46" s="151"/>
      <c r="H46" s="156" t="s">
        <v>522</v>
      </c>
      <c r="I46" s="175" t="s">
        <v>523</v>
      </c>
      <c r="J46" s="179" t="s">
        <v>1156</v>
      </c>
      <c r="K46" s="243">
        <f>ROUNDUP(E44-Q47/Q41+Q46*K41/1000+E45+Q43/1000,0)</f>
        <v>60122</v>
      </c>
      <c r="L46" s="182" t="s">
        <v>478</v>
      </c>
      <c r="M46" s="166"/>
      <c r="N46" s="157" t="s">
        <v>1157</v>
      </c>
      <c r="O46" s="158" t="s">
        <v>1158</v>
      </c>
      <c r="P46" s="158" t="s">
        <v>1145</v>
      </c>
      <c r="Q46" s="245">
        <f>VLOOKUP($D$38,$T$40:$AR$43,16,FALSE)</f>
        <v>2</v>
      </c>
      <c r="R46" s="203" t="s">
        <v>469</v>
      </c>
      <c r="S46" s="166"/>
      <c r="T46" s="59"/>
      <c r="U46" s="59"/>
      <c r="V46" s="59"/>
      <c r="W46" s="59"/>
      <c r="X46" s="59"/>
      <c r="Y46" s="59"/>
      <c r="Z46" s="78"/>
      <c r="AA46" s="59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</row>
    <row r="47" spans="2:44" ht="27" hidden="1">
      <c r="B47" s="157" t="s">
        <v>1159</v>
      </c>
      <c r="C47" s="158" t="s">
        <v>503</v>
      </c>
      <c r="D47" s="158">
        <v>0</v>
      </c>
      <c r="E47" s="238">
        <v>0</v>
      </c>
      <c r="F47" s="160" t="s">
        <v>478</v>
      </c>
      <c r="G47" s="151"/>
      <c r="H47" s="157" t="s">
        <v>534</v>
      </c>
      <c r="I47" s="158" t="s">
        <v>535</v>
      </c>
      <c r="J47" s="158" t="s">
        <v>1160</v>
      </c>
      <c r="K47" s="245">
        <f>ROUNDUP((1000000/E62)*E61,0)</f>
        <v>0</v>
      </c>
      <c r="L47" s="184" t="s">
        <v>478</v>
      </c>
      <c r="M47" s="166"/>
      <c r="N47" s="157" t="s">
        <v>1161</v>
      </c>
      <c r="O47" s="158" t="s">
        <v>1162</v>
      </c>
      <c r="P47" s="158" t="s">
        <v>1145</v>
      </c>
      <c r="Q47" s="245">
        <f>VLOOKUP($D$38,$T$40:$AR$43,17,FALSE)</f>
        <v>636</v>
      </c>
      <c r="R47" s="184" t="s">
        <v>1163</v>
      </c>
      <c r="S47" s="166"/>
      <c r="T47" s="204"/>
      <c r="U47" s="204"/>
      <c r="V47" s="204"/>
      <c r="W47" s="204"/>
      <c r="X47" s="204"/>
      <c r="Y47" s="204"/>
      <c r="Z47" s="213"/>
      <c r="AA47" s="213"/>
      <c r="AB47" s="166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</row>
    <row r="48" spans="2:44" ht="27" hidden="1">
      <c r="B48" s="746" t="s">
        <v>753</v>
      </c>
      <c r="C48" s="730"/>
      <c r="D48" s="730"/>
      <c r="E48" s="730"/>
      <c r="F48" s="747"/>
      <c r="G48" s="151"/>
      <c r="H48" s="157" t="s">
        <v>540</v>
      </c>
      <c r="I48" s="163" t="s">
        <v>417</v>
      </c>
      <c r="J48" s="179" t="s">
        <v>978</v>
      </c>
      <c r="K48" s="245">
        <f>Q79</f>
        <v>244800</v>
      </c>
      <c r="L48" s="184" t="s">
        <v>478</v>
      </c>
      <c r="M48" s="166"/>
      <c r="N48" s="157" t="s">
        <v>1164</v>
      </c>
      <c r="O48" s="158" t="s">
        <v>1165</v>
      </c>
      <c r="P48" s="158" t="s">
        <v>1145</v>
      </c>
      <c r="Q48" s="245">
        <f>VLOOKUP($D$38,$T$40:$AR$43,18,FALSE)</f>
        <v>6</v>
      </c>
      <c r="R48" s="184" t="s">
        <v>469</v>
      </c>
      <c r="S48" s="166"/>
      <c r="T48" s="204"/>
      <c r="U48" s="205"/>
      <c r="V48" s="205"/>
      <c r="W48" s="205"/>
      <c r="X48" s="205"/>
      <c r="Y48" s="205"/>
      <c r="Z48" s="214"/>
      <c r="AA48" s="214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</row>
    <row r="49" spans="2:44" hidden="1">
      <c r="B49" s="157" t="s">
        <v>757</v>
      </c>
      <c r="C49" s="158" t="s">
        <v>758</v>
      </c>
      <c r="D49" s="158">
        <v>0</v>
      </c>
      <c r="E49" s="238">
        <v>0</v>
      </c>
      <c r="F49" s="160" t="s">
        <v>704</v>
      </c>
      <c r="G49" s="151"/>
      <c r="H49" s="746" t="s">
        <v>729</v>
      </c>
      <c r="I49" s="730"/>
      <c r="J49" s="730"/>
      <c r="K49" s="730"/>
      <c r="L49" s="747"/>
      <c r="M49" s="166"/>
      <c r="N49" s="157" t="s">
        <v>1166</v>
      </c>
      <c r="O49" s="158" t="s">
        <v>1167</v>
      </c>
      <c r="P49" s="158" t="s">
        <v>1145</v>
      </c>
      <c r="Q49" s="245">
        <f>VLOOKUP($D$38,$T$40:$AR$43,20,FALSE)</f>
        <v>2</v>
      </c>
      <c r="R49" s="184" t="s">
        <v>469</v>
      </c>
      <c r="S49" s="166"/>
      <c r="T49" s="204"/>
      <c r="U49" s="205"/>
      <c r="V49" s="205"/>
      <c r="W49" s="205"/>
      <c r="X49" s="205"/>
      <c r="Y49" s="205"/>
      <c r="Z49" s="214"/>
      <c r="AA49" s="214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</row>
    <row r="50" spans="2:44" ht="40.5" hidden="1">
      <c r="B50" s="162" t="s">
        <v>760</v>
      </c>
      <c r="C50" s="163" t="s">
        <v>761</v>
      </c>
      <c r="D50" s="163">
        <v>0</v>
      </c>
      <c r="E50" s="239">
        <v>0</v>
      </c>
      <c r="F50" s="161" t="s">
        <v>704</v>
      </c>
      <c r="G50" s="151"/>
      <c r="H50" s="162" t="s">
        <v>805</v>
      </c>
      <c r="I50" s="163" t="s">
        <v>1168</v>
      </c>
      <c r="J50" s="163" t="s">
        <v>1169</v>
      </c>
      <c r="K50" s="243">
        <f>ROUNDUP((1000*E44-1000*Q47/Q41)/1000,0)</f>
        <v>59988</v>
      </c>
      <c r="L50" s="182" t="s">
        <v>478</v>
      </c>
      <c r="M50" s="166"/>
      <c r="N50" s="746" t="s">
        <v>799</v>
      </c>
      <c r="O50" s="730"/>
      <c r="P50" s="730"/>
      <c r="Q50" s="730"/>
      <c r="R50" s="747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</row>
    <row r="51" spans="2:44" ht="27" hidden="1">
      <c r="B51" s="162" t="s">
        <v>202</v>
      </c>
      <c r="C51" s="163" t="s">
        <v>203</v>
      </c>
      <c r="D51" s="163">
        <f>VLOOKUP($D$38,$T$40:$AR$43,23,FALSE)</f>
        <v>5120</v>
      </c>
      <c r="E51" s="239">
        <f>B4</f>
        <v>5120</v>
      </c>
      <c r="F51" s="161" t="s">
        <v>704</v>
      </c>
      <c r="G51" s="151"/>
      <c r="H51" s="162" t="s">
        <v>1170</v>
      </c>
      <c r="I51" s="163" t="s">
        <v>743</v>
      </c>
      <c r="J51" s="163" t="s">
        <v>484</v>
      </c>
      <c r="K51" s="243">
        <f>E45</f>
        <v>0</v>
      </c>
      <c r="L51" s="185" t="s">
        <v>469</v>
      </c>
      <c r="M51" s="166"/>
      <c r="N51" s="234" t="s">
        <v>444</v>
      </c>
      <c r="O51" s="235" t="s">
        <v>438</v>
      </c>
      <c r="P51" s="235" t="s">
        <v>447</v>
      </c>
      <c r="Q51" s="235" t="s">
        <v>688</v>
      </c>
      <c r="R51" s="253" t="s">
        <v>449</v>
      </c>
      <c r="S51" s="17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</row>
    <row r="52" spans="2:44" ht="94.5" hidden="1">
      <c r="B52" s="162" t="s">
        <v>204</v>
      </c>
      <c r="C52" s="163" t="s">
        <v>205</v>
      </c>
      <c r="D52" s="163">
        <f>VLOOKUP($D$38,$T$40:$AR$43,24,FALSE)</f>
        <v>5120</v>
      </c>
      <c r="E52" s="239">
        <f>B5</f>
        <v>5120</v>
      </c>
      <c r="F52" s="161" t="s">
        <v>704</v>
      </c>
      <c r="G52" s="151"/>
      <c r="H52" s="162" t="s">
        <v>1171</v>
      </c>
      <c r="I52" s="163" t="s">
        <v>1172</v>
      </c>
      <c r="J52" s="163" t="s">
        <v>1173</v>
      </c>
      <c r="K52" s="186">
        <f>IF((MAX(K45,K46,K47,K48)-K50)&lt;K45,(IF((MAX(K45,K46,K47,K48)-K50)&gt;=(K45-ROUNDUP(6*K41/1000,0)),1,0)),0)</f>
        <v>0</v>
      </c>
      <c r="L52" s="185" t="s">
        <v>594</v>
      </c>
      <c r="M52" s="166"/>
      <c r="N52" s="157" t="s">
        <v>386</v>
      </c>
      <c r="O52" s="158" t="s">
        <v>452</v>
      </c>
      <c r="P52" s="158" t="s">
        <v>453</v>
      </c>
      <c r="Q52" s="245">
        <v>7</v>
      </c>
      <c r="R52" s="184" t="s">
        <v>454</v>
      </c>
      <c r="S52" s="17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</row>
    <row r="53" spans="2:44" ht="40.5" hidden="1">
      <c r="B53" s="746" t="s">
        <v>571</v>
      </c>
      <c r="C53" s="730"/>
      <c r="D53" s="730"/>
      <c r="E53" s="730"/>
      <c r="F53" s="747"/>
      <c r="G53" s="151"/>
      <c r="H53" s="162" t="s">
        <v>1174</v>
      </c>
      <c r="I53" s="163" t="s">
        <v>1175</v>
      </c>
      <c r="J53" s="163" t="s">
        <v>1176</v>
      </c>
      <c r="K53" s="186">
        <f>IF(K52=1,K45-(MAX(K45,K46,K47,K48)-K50),0)</f>
        <v>0</v>
      </c>
      <c r="L53" s="185" t="s">
        <v>478</v>
      </c>
      <c r="M53" s="166"/>
      <c r="N53" s="157" t="s">
        <v>387</v>
      </c>
      <c r="O53" s="158" t="s">
        <v>462</v>
      </c>
      <c r="P53" s="158" t="s">
        <v>463</v>
      </c>
      <c r="Q53" s="245">
        <v>1</v>
      </c>
      <c r="R53" s="184" t="s">
        <v>454</v>
      </c>
      <c r="S53" s="17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</row>
    <row r="54" spans="2:44" ht="27" hidden="1">
      <c r="B54" s="162" t="s">
        <v>779</v>
      </c>
      <c r="C54" s="163" t="s">
        <v>372</v>
      </c>
      <c r="D54" s="165">
        <v>0</v>
      </c>
      <c r="E54" s="239">
        <v>0</v>
      </c>
      <c r="F54" s="161" t="s">
        <v>594</v>
      </c>
      <c r="G54" s="151"/>
      <c r="H54" s="746" t="s">
        <v>366</v>
      </c>
      <c r="I54" s="730"/>
      <c r="J54" s="730"/>
      <c r="K54" s="730"/>
      <c r="L54" s="747"/>
      <c r="M54" s="166"/>
      <c r="N54" s="157" t="s">
        <v>388</v>
      </c>
      <c r="O54" s="158" t="s">
        <v>470</v>
      </c>
      <c r="P54" s="158" t="s">
        <v>471</v>
      </c>
      <c r="Q54" s="245">
        <v>14</v>
      </c>
      <c r="R54" s="184" t="s">
        <v>454</v>
      </c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</row>
    <row r="55" spans="2:44" ht="40.5" hidden="1">
      <c r="B55" s="746" t="s">
        <v>789</v>
      </c>
      <c r="C55" s="730"/>
      <c r="D55" s="730"/>
      <c r="E55" s="730"/>
      <c r="F55" s="747"/>
      <c r="G55" s="151"/>
      <c r="H55" s="162" t="s">
        <v>400</v>
      </c>
      <c r="I55" s="163" t="s">
        <v>762</v>
      </c>
      <c r="J55" s="163" t="s">
        <v>763</v>
      </c>
      <c r="K55" s="246">
        <f>K43*Q68</f>
        <v>107084967.32026143</v>
      </c>
      <c r="L55" s="188" t="s">
        <v>764</v>
      </c>
      <c r="M55" s="166"/>
      <c r="N55" s="157" t="s">
        <v>389</v>
      </c>
      <c r="O55" s="158" t="s">
        <v>479</v>
      </c>
      <c r="P55" s="158" t="s">
        <v>480</v>
      </c>
      <c r="Q55" s="245">
        <v>20</v>
      </c>
      <c r="R55" s="184" t="s">
        <v>454</v>
      </c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</row>
    <row r="56" spans="2:44" ht="27" hidden="1">
      <c r="B56" s="162" t="s">
        <v>230</v>
      </c>
      <c r="C56" s="163" t="s">
        <v>796</v>
      </c>
      <c r="D56" s="165" t="s">
        <v>594</v>
      </c>
      <c r="E56" s="239">
        <f>B16</f>
        <v>1000</v>
      </c>
      <c r="F56" s="161" t="s">
        <v>797</v>
      </c>
      <c r="G56" s="166"/>
      <c r="H56" s="167" t="s">
        <v>401</v>
      </c>
      <c r="I56" s="247" t="s">
        <v>767</v>
      </c>
      <c r="J56" s="163" t="s">
        <v>768</v>
      </c>
      <c r="K56" s="243">
        <f>K43*Q75</f>
        <v>111620236.92810456</v>
      </c>
      <c r="L56" s="188" t="s">
        <v>764</v>
      </c>
      <c r="M56" s="166"/>
      <c r="N56" s="157" t="s">
        <v>390</v>
      </c>
      <c r="O56" s="158" t="s">
        <v>489</v>
      </c>
      <c r="P56" s="158" t="s">
        <v>490</v>
      </c>
      <c r="Q56" s="245">
        <v>8</v>
      </c>
      <c r="R56" s="184" t="s">
        <v>454</v>
      </c>
      <c r="S56" s="166"/>
      <c r="T56" s="748" t="s">
        <v>531</v>
      </c>
      <c r="U56" s="749"/>
      <c r="V56" s="749"/>
      <c r="W56" s="749"/>
      <c r="X56" s="750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</row>
    <row r="57" spans="2:44" ht="81" hidden="1">
      <c r="B57" s="162" t="s">
        <v>803</v>
      </c>
      <c r="C57" s="163" t="s">
        <v>221</v>
      </c>
      <c r="D57" s="165">
        <v>1500</v>
      </c>
      <c r="E57" s="239">
        <f>B11</f>
        <v>1500</v>
      </c>
      <c r="F57" s="161" t="s">
        <v>454</v>
      </c>
      <c r="G57" s="166"/>
      <c r="H57" s="167" t="s">
        <v>402</v>
      </c>
      <c r="I57" s="247" t="s">
        <v>772</v>
      </c>
      <c r="J57" s="163" t="s">
        <v>773</v>
      </c>
      <c r="K57" s="243">
        <f>1250*E56*(100-E59)</f>
        <v>112500000</v>
      </c>
      <c r="L57" s="188" t="s">
        <v>764</v>
      </c>
      <c r="M57" s="166"/>
      <c r="N57" s="157" t="s">
        <v>391</v>
      </c>
      <c r="O57" s="158" t="s">
        <v>494</v>
      </c>
      <c r="P57" s="158" t="s">
        <v>490</v>
      </c>
      <c r="Q57" s="245">
        <v>8</v>
      </c>
      <c r="R57" s="184" t="s">
        <v>454</v>
      </c>
      <c r="S57" s="166"/>
      <c r="T57" s="234" t="s">
        <v>1177</v>
      </c>
      <c r="U57" s="235" t="s">
        <v>1178</v>
      </c>
      <c r="V57" s="235" t="s">
        <v>438</v>
      </c>
      <c r="W57" s="235" t="s">
        <v>447</v>
      </c>
      <c r="X57" s="236" t="s">
        <v>777</v>
      </c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</row>
    <row r="58" spans="2:44" ht="54" hidden="1">
      <c r="B58" s="162" t="str">
        <f>"流通道包间隔(不包括12B最小值的部分) 
范围:0-"&amp;K59</f>
        <v>流通道包间隔(不包括12B最小值的部分) 
范围:0-61279</v>
      </c>
      <c r="C58" s="163" t="s">
        <v>223</v>
      </c>
      <c r="D58" s="165">
        <v>0</v>
      </c>
      <c r="E58" s="239">
        <f>B12</f>
        <v>0</v>
      </c>
      <c r="F58" s="161" t="s">
        <v>454</v>
      </c>
      <c r="G58" s="166"/>
      <c r="H58" s="746" t="s">
        <v>600</v>
      </c>
      <c r="I58" s="730"/>
      <c r="J58" s="730"/>
      <c r="K58" s="730"/>
      <c r="L58" s="747"/>
      <c r="M58" s="166"/>
      <c r="N58" s="157" t="s">
        <v>392</v>
      </c>
      <c r="O58" s="158" t="s">
        <v>498</v>
      </c>
      <c r="P58" s="158" t="s">
        <v>499</v>
      </c>
      <c r="Q58" s="245">
        <v>4</v>
      </c>
      <c r="R58" s="184" t="s">
        <v>454</v>
      </c>
      <c r="S58" s="166"/>
      <c r="T58" s="207" t="s">
        <v>1179</v>
      </c>
      <c r="U58" s="163" t="s">
        <v>1100</v>
      </c>
      <c r="V58" s="208" t="s">
        <v>1180</v>
      </c>
      <c r="W58" s="158" t="s">
        <v>800</v>
      </c>
      <c r="X58" s="188" t="str">
        <f>DEC2HEX(K51)</f>
        <v>0</v>
      </c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</row>
    <row r="59" spans="2:44" ht="175.5" hidden="1">
      <c r="B59" s="162" t="str">
        <f>"预留带宽 
范围:0-"&amp;K61</f>
        <v>预留带宽 
范围:0-97</v>
      </c>
      <c r="C59" s="163" t="s">
        <v>233</v>
      </c>
      <c r="D59" s="165">
        <v>10</v>
      </c>
      <c r="E59" s="239">
        <f>B17</f>
        <v>10</v>
      </c>
      <c r="F59" s="161" t="s">
        <v>614</v>
      </c>
      <c r="G59" s="166"/>
      <c r="H59" s="167" t="s">
        <v>403</v>
      </c>
      <c r="I59" s="248" t="s">
        <v>780</v>
      </c>
      <c r="J59" s="163" t="s">
        <v>1181</v>
      </c>
      <c r="K59" s="243">
        <f>IF((ROUNDDOWN((Q78-(Q73+Q74+Q75))/(Q69+Q71+2),0)-12)&lt;IF(E56=100,18000,180000),ROUNDDOWN((Q78-(Q73+Q74+Q75))/(Q69+Q71+2),0)-12,IF(E56=100,18000,180000))</f>
        <v>61279</v>
      </c>
      <c r="L59" s="188" t="s">
        <v>454</v>
      </c>
      <c r="M59" s="166"/>
      <c r="N59" s="157" t="s">
        <v>331</v>
      </c>
      <c r="O59" s="158" t="s">
        <v>330</v>
      </c>
      <c r="P59" s="158" t="s">
        <v>504</v>
      </c>
      <c r="Q59" s="245">
        <v>12</v>
      </c>
      <c r="R59" s="184" t="s">
        <v>454</v>
      </c>
      <c r="S59" s="166"/>
      <c r="T59" s="209" t="s">
        <v>1182</v>
      </c>
      <c r="U59" s="163" t="s">
        <v>925</v>
      </c>
      <c r="V59" s="208" t="s">
        <v>1183</v>
      </c>
      <c r="W59" s="158" t="s">
        <v>805</v>
      </c>
      <c r="X59" s="210" t="str">
        <f>DEC2HEX(K50)</f>
        <v>EA54</v>
      </c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</row>
    <row r="60" spans="2:44" ht="54" hidden="1">
      <c r="B60" s="746" t="s">
        <v>552</v>
      </c>
      <c r="C60" s="730"/>
      <c r="D60" s="730"/>
      <c r="E60" s="730"/>
      <c r="F60" s="747"/>
      <c r="G60" s="166"/>
      <c r="H60" s="746" t="s">
        <v>609</v>
      </c>
      <c r="I60" s="730"/>
      <c r="J60" s="730"/>
      <c r="K60" s="730"/>
      <c r="L60" s="747"/>
      <c r="M60" s="166"/>
      <c r="N60" s="157" t="s">
        <v>341</v>
      </c>
      <c r="O60" s="163" t="s">
        <v>511</v>
      </c>
      <c r="P60" s="158" t="s">
        <v>512</v>
      </c>
      <c r="Q60" s="245">
        <f>Q55+Q56+Q57</f>
        <v>36</v>
      </c>
      <c r="R60" s="184" t="s">
        <v>454</v>
      </c>
      <c r="S60" s="166"/>
      <c r="T60" s="209" t="s">
        <v>1184</v>
      </c>
      <c r="U60" s="163" t="s">
        <v>927</v>
      </c>
      <c r="V60" s="208" t="s">
        <v>1185</v>
      </c>
      <c r="W60" s="175" t="s">
        <v>1147</v>
      </c>
      <c r="X60" s="210" t="str">
        <f>DEC2HEX(MAX(K45,K46,K47,K48))</f>
        <v>3BC40</v>
      </c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</row>
    <row r="61" spans="2:44" ht="94.5" hidden="1">
      <c r="B61" s="157" t="s">
        <v>824</v>
      </c>
      <c r="C61" s="158" t="s">
        <v>558</v>
      </c>
      <c r="D61" s="158">
        <v>0</v>
      </c>
      <c r="E61" s="238">
        <f>B15</f>
        <v>0</v>
      </c>
      <c r="F61" s="160" t="s">
        <v>594</v>
      </c>
      <c r="G61" s="166"/>
      <c r="H61" s="168" t="s">
        <v>404</v>
      </c>
      <c r="I61" s="249" t="s">
        <v>609</v>
      </c>
      <c r="J61" s="192" t="s">
        <v>798</v>
      </c>
      <c r="K61" s="250">
        <f>IF((100-ROUNDDOWN(10*Q77/(125000*E56),0)-1)&lt;0,0,(100-ROUNDDOWN(10*Q77/(125000*E56),0)-1))</f>
        <v>97</v>
      </c>
      <c r="L61" s="194" t="s">
        <v>614</v>
      </c>
      <c r="M61" s="166"/>
      <c r="N61" s="157" t="s">
        <v>343</v>
      </c>
      <c r="O61" s="163" t="s">
        <v>519</v>
      </c>
      <c r="P61" s="158" t="s">
        <v>520</v>
      </c>
      <c r="Q61" s="245">
        <f>Q52+Q53+Q54+Q58</f>
        <v>26</v>
      </c>
      <c r="R61" s="184" t="s">
        <v>454</v>
      </c>
      <c r="S61" s="166"/>
      <c r="T61" s="209" t="s">
        <v>1186</v>
      </c>
      <c r="U61" s="163" t="s">
        <v>1187</v>
      </c>
      <c r="V61" s="208" t="s">
        <v>1188</v>
      </c>
      <c r="W61" s="175" t="s">
        <v>1147</v>
      </c>
      <c r="X61" s="210" t="str">
        <f>DEC2HEX(MAX(K45,K46,K47))</f>
        <v>2555A</v>
      </c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</row>
    <row r="62" spans="2:44" ht="54" hidden="1">
      <c r="B62" s="169" t="s">
        <v>552</v>
      </c>
      <c r="C62" s="170" t="s">
        <v>565</v>
      </c>
      <c r="D62" s="171">
        <f>VLOOKUP($D$38,$T$40:$AR$43,25,FALSE)</f>
        <v>4</v>
      </c>
      <c r="E62" s="240">
        <f>B14</f>
        <v>4.5</v>
      </c>
      <c r="F62" s="173" t="s">
        <v>488</v>
      </c>
      <c r="G62" s="174"/>
      <c r="H62" s="174"/>
      <c r="I62" s="174"/>
      <c r="J62" s="174"/>
      <c r="K62" s="174"/>
      <c r="L62" s="174"/>
      <c r="M62" s="174"/>
      <c r="N62" s="157" t="s">
        <v>345</v>
      </c>
      <c r="O62" s="158" t="s">
        <v>344</v>
      </c>
      <c r="P62" s="158" t="s">
        <v>525</v>
      </c>
      <c r="Q62" s="245">
        <f>64-Q54-Q58-Q60</f>
        <v>10</v>
      </c>
      <c r="R62" s="184" t="s">
        <v>454</v>
      </c>
      <c r="S62" s="174"/>
      <c r="T62" s="209" t="s">
        <v>1189</v>
      </c>
      <c r="U62" s="163" t="s">
        <v>1190</v>
      </c>
      <c r="V62" s="208" t="s">
        <v>1191</v>
      </c>
      <c r="W62" s="158" t="s">
        <v>516</v>
      </c>
      <c r="X62" s="210" t="str">
        <f>DEC2HEX(K45)</f>
        <v>2555A</v>
      </c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</row>
    <row r="63" spans="2:44" ht="40.5" hidden="1">
      <c r="B63" s="746" t="s">
        <v>1192</v>
      </c>
      <c r="C63" s="730"/>
      <c r="D63" s="730"/>
      <c r="E63" s="730"/>
      <c r="F63" s="747"/>
      <c r="G63" s="174"/>
      <c r="H63" s="166"/>
      <c r="I63" s="166"/>
      <c r="J63" s="166"/>
      <c r="K63" s="166"/>
      <c r="L63" s="166"/>
      <c r="M63" s="174"/>
      <c r="N63" s="746" t="s">
        <v>868</v>
      </c>
      <c r="O63" s="730"/>
      <c r="P63" s="730"/>
      <c r="Q63" s="730"/>
      <c r="R63" s="747"/>
      <c r="S63" s="174"/>
      <c r="T63" s="207" t="s">
        <v>1193</v>
      </c>
      <c r="U63" s="163" t="s">
        <v>1194</v>
      </c>
      <c r="V63" s="208" t="s">
        <v>1195</v>
      </c>
      <c r="W63" s="158" t="s">
        <v>1196</v>
      </c>
      <c r="X63" s="188" t="str">
        <f>DEC2HEX(ROUNDUP(E52+Q48+4,0))</f>
        <v>140A</v>
      </c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4"/>
      <c r="AK63" s="174"/>
      <c r="AL63" s="174"/>
      <c r="AM63" s="174"/>
      <c r="AN63" s="174"/>
      <c r="AO63" s="174"/>
      <c r="AP63" s="174"/>
      <c r="AQ63" s="174"/>
      <c r="AR63" s="174"/>
    </row>
    <row r="64" spans="2:44" ht="27" hidden="1">
      <c r="B64" s="157" t="s">
        <v>852</v>
      </c>
      <c r="C64" s="175" t="s">
        <v>853</v>
      </c>
      <c r="D64" s="158">
        <v>1</v>
      </c>
      <c r="E64" s="238">
        <v>1</v>
      </c>
      <c r="F64" s="160" t="s">
        <v>594</v>
      </c>
      <c r="G64" s="166"/>
      <c r="H64" s="166"/>
      <c r="I64" s="166"/>
      <c r="J64" s="166"/>
      <c r="K64" s="166"/>
      <c r="L64" s="166"/>
      <c r="M64" s="166"/>
      <c r="N64" s="234" t="s">
        <v>444</v>
      </c>
      <c r="O64" s="235" t="s">
        <v>438</v>
      </c>
      <c r="P64" s="235" t="s">
        <v>447</v>
      </c>
      <c r="Q64" s="235" t="s">
        <v>688</v>
      </c>
      <c r="R64" s="253" t="s">
        <v>449</v>
      </c>
      <c r="S64" s="166"/>
      <c r="T64" s="211" t="s">
        <v>829</v>
      </c>
      <c r="U64" s="163" t="s">
        <v>1103</v>
      </c>
      <c r="V64" s="163" t="s">
        <v>831</v>
      </c>
      <c r="W64" s="163" t="s">
        <v>594</v>
      </c>
      <c r="X64" s="210" t="s">
        <v>832</v>
      </c>
      <c r="Y64" s="174"/>
      <c r="Z64" s="174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</row>
    <row r="65" spans="2:44" ht="67.5" hidden="1">
      <c r="B65" s="220" t="s">
        <v>858</v>
      </c>
      <c r="C65" s="221" t="s">
        <v>859</v>
      </c>
      <c r="D65" s="222">
        <v>1</v>
      </c>
      <c r="E65" s="238">
        <v>4</v>
      </c>
      <c r="F65" s="223" t="s">
        <v>594</v>
      </c>
      <c r="G65" s="166"/>
      <c r="H65" s="166"/>
      <c r="I65" s="166"/>
      <c r="J65" s="166"/>
      <c r="K65" s="166"/>
      <c r="L65" s="166"/>
      <c r="M65" s="166"/>
      <c r="N65" s="157" t="s">
        <v>393</v>
      </c>
      <c r="O65" s="163" t="s">
        <v>874</v>
      </c>
      <c r="P65" s="158" t="s">
        <v>543</v>
      </c>
      <c r="Q65" s="245">
        <f>36</f>
        <v>36</v>
      </c>
      <c r="R65" s="184" t="s">
        <v>454</v>
      </c>
      <c r="S65" s="166"/>
      <c r="T65" s="227" t="s">
        <v>864</v>
      </c>
      <c r="U65" s="228" t="s">
        <v>1197</v>
      </c>
      <c r="V65" s="228" t="s">
        <v>865</v>
      </c>
      <c r="W65" s="222" t="s">
        <v>1198</v>
      </c>
      <c r="X65" s="194" t="e">
        <f>DEC2HEX(ROUNDUP(K41*Q41/1000,0)-E51/VLOOKUP($B$4,$R$8:$AP$18,5,FALSE)/VLOOKUP($B$4,$R$8:$AP$18,6,FALSE))</f>
        <v>#N/A</v>
      </c>
      <c r="Y65" s="174"/>
      <c r="Z65" s="174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</row>
    <row r="66" spans="2:44" ht="40.5" hidden="1">
      <c r="B66" s="757" t="s">
        <v>272</v>
      </c>
      <c r="C66" s="758"/>
      <c r="D66" s="758"/>
      <c r="E66" s="758"/>
      <c r="F66" s="759"/>
      <c r="G66" s="166"/>
      <c r="H66" s="166"/>
      <c r="I66" s="166"/>
      <c r="J66" s="166"/>
      <c r="K66" s="166"/>
      <c r="L66" s="166"/>
      <c r="M66" s="166"/>
      <c r="N66" s="157" t="s">
        <v>394</v>
      </c>
      <c r="O66" s="163" t="s">
        <v>877</v>
      </c>
      <c r="P66" s="158" t="s">
        <v>548</v>
      </c>
      <c r="Q66" s="245">
        <v>10</v>
      </c>
      <c r="R66" s="184" t="s">
        <v>454</v>
      </c>
      <c r="S66" s="166"/>
      <c r="T66" s="174"/>
      <c r="U66" s="174"/>
      <c r="V66" s="174"/>
      <c r="W66" s="174"/>
      <c r="X66" s="174"/>
      <c r="Y66" s="174"/>
      <c r="Z66" s="174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</row>
    <row r="67" spans="2:44" ht="27" hidden="1">
      <c r="B67" s="224" t="s">
        <v>252</v>
      </c>
      <c r="C67" s="743" t="s">
        <v>407</v>
      </c>
      <c r="D67" s="743"/>
      <c r="E67" s="744">
        <f>K43</f>
        <v>4.0849673202614376</v>
      </c>
      <c r="F67" s="745"/>
      <c r="G67" s="166"/>
      <c r="H67" s="166"/>
      <c r="I67" s="166"/>
      <c r="J67" s="166"/>
      <c r="K67" s="166"/>
      <c r="L67" s="166"/>
      <c r="M67" s="166"/>
      <c r="N67" s="162" t="s">
        <v>337</v>
      </c>
      <c r="O67" s="163" t="s">
        <v>884</v>
      </c>
      <c r="P67" s="163" t="s">
        <v>885</v>
      </c>
      <c r="Q67" s="246">
        <f>B4*B5*IF(E42=8,1,2)</f>
        <v>26214400</v>
      </c>
      <c r="R67" s="184" t="s">
        <v>454</v>
      </c>
      <c r="S67" s="166"/>
      <c r="T67" s="174"/>
      <c r="U67" s="174"/>
      <c r="V67" s="174"/>
      <c r="W67" s="174"/>
      <c r="X67" s="174"/>
      <c r="Y67" s="166"/>
      <c r="Z67" s="166"/>
      <c r="AA67" s="174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</row>
    <row r="68" spans="2:44" ht="27" hidden="1">
      <c r="B68" s="174"/>
      <c r="C68" s="174"/>
      <c r="D68" s="174"/>
      <c r="E68" s="174"/>
      <c r="F68" s="174"/>
      <c r="G68" s="166"/>
      <c r="H68" s="174"/>
      <c r="I68" s="174"/>
      <c r="J68" s="174"/>
      <c r="K68" s="174"/>
      <c r="L68" s="174"/>
      <c r="M68" s="166"/>
      <c r="N68" s="157" t="s">
        <v>339</v>
      </c>
      <c r="O68" s="163" t="s">
        <v>886</v>
      </c>
      <c r="P68" s="163" t="s">
        <v>887</v>
      </c>
      <c r="Q68" s="256">
        <f>Q67+32*E54</f>
        <v>26214400</v>
      </c>
      <c r="R68" s="184" t="s">
        <v>454</v>
      </c>
      <c r="S68" s="166"/>
      <c r="T68" s="166"/>
      <c r="U68" s="166"/>
      <c r="V68" s="166"/>
      <c r="W68" s="166"/>
      <c r="X68" s="166"/>
      <c r="Y68" s="166"/>
      <c r="Z68" s="166"/>
      <c r="AA68" s="174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</row>
    <row r="69" spans="2:44" ht="40.5" hidden="1"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57" t="s">
        <v>347</v>
      </c>
      <c r="O69" s="163" t="s">
        <v>346</v>
      </c>
      <c r="P69" s="158" t="s">
        <v>570</v>
      </c>
      <c r="Q69" s="257">
        <f>INT(Q68/(E57-Q60))</f>
        <v>17906</v>
      </c>
      <c r="R69" s="184"/>
      <c r="S69" s="174"/>
      <c r="T69" s="166"/>
      <c r="U69" s="166"/>
      <c r="V69" s="166"/>
      <c r="W69" s="166"/>
      <c r="X69" s="166"/>
      <c r="Y69" s="166"/>
      <c r="Z69" s="166"/>
      <c r="AA69" s="174"/>
      <c r="AB69" s="174"/>
      <c r="AC69" s="174"/>
      <c r="AD69" s="174"/>
      <c r="AE69" s="174"/>
      <c r="AF69" s="174"/>
      <c r="AG69" s="174"/>
      <c r="AH69" s="174"/>
      <c r="AI69" s="174"/>
      <c r="AJ69" s="174"/>
      <c r="AK69" s="174"/>
      <c r="AL69" s="174"/>
      <c r="AM69" s="174"/>
      <c r="AN69" s="174"/>
      <c r="AO69" s="174"/>
      <c r="AP69" s="174"/>
      <c r="AQ69" s="174"/>
      <c r="AR69" s="174"/>
    </row>
    <row r="70" spans="2:44" ht="54" hidden="1"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57" t="s">
        <v>349</v>
      </c>
      <c r="O70" s="163" t="s">
        <v>888</v>
      </c>
      <c r="P70" s="158" t="s">
        <v>577</v>
      </c>
      <c r="Q70" s="257">
        <f>Q68-(E57-Q60)*Q69</f>
        <v>16</v>
      </c>
      <c r="R70" s="184" t="s">
        <v>454</v>
      </c>
      <c r="S70" s="174"/>
      <c r="T70" s="166"/>
      <c r="U70" s="166"/>
      <c r="V70" s="166"/>
      <c r="W70" s="166"/>
      <c r="X70" s="166"/>
      <c r="Y70" s="166"/>
      <c r="Z70" s="166"/>
      <c r="AA70" s="166"/>
      <c r="AB70" s="174"/>
      <c r="AC70" s="174"/>
      <c r="AD70" s="174"/>
      <c r="AE70" s="174"/>
      <c r="AF70" s="174"/>
      <c r="AG70" s="174"/>
      <c r="AH70" s="174"/>
      <c r="AI70" s="174"/>
      <c r="AJ70" s="174"/>
      <c r="AK70" s="174"/>
      <c r="AL70" s="174"/>
      <c r="AM70" s="174"/>
      <c r="AN70" s="174"/>
      <c r="AO70" s="174"/>
      <c r="AP70" s="174"/>
      <c r="AQ70" s="174"/>
      <c r="AR70" s="174"/>
    </row>
    <row r="71" spans="2:44" ht="27" hidden="1">
      <c r="B71" s="166"/>
      <c r="C71" s="166"/>
      <c r="D71" s="166"/>
      <c r="E71" s="166"/>
      <c r="F71" s="166"/>
      <c r="G71" s="174"/>
      <c r="H71" s="166"/>
      <c r="I71" s="166"/>
      <c r="J71" s="166"/>
      <c r="K71" s="166"/>
      <c r="L71" s="166"/>
      <c r="M71" s="174"/>
      <c r="N71" s="156" t="s">
        <v>348</v>
      </c>
      <c r="O71" s="179" t="s">
        <v>245</v>
      </c>
      <c r="P71" s="175" t="s">
        <v>1199</v>
      </c>
      <c r="Q71" s="245">
        <f>IF(MOD(Q67,(E57-Q60))=0,0,1)</f>
        <v>1</v>
      </c>
      <c r="R71" s="184"/>
      <c r="S71" s="174"/>
      <c r="T71" s="166"/>
      <c r="U71" s="166"/>
      <c r="V71" s="166"/>
      <c r="W71" s="166"/>
      <c r="X71" s="166"/>
      <c r="Y71" s="166"/>
      <c r="Z71" s="166"/>
      <c r="AA71" s="166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74"/>
      <c r="AP71" s="174"/>
      <c r="AQ71" s="174"/>
      <c r="AR71" s="174"/>
    </row>
    <row r="72" spans="2:44" ht="54" hidden="1"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57" t="s">
        <v>351</v>
      </c>
      <c r="O72" s="163" t="s">
        <v>889</v>
      </c>
      <c r="P72" s="175" t="s">
        <v>584</v>
      </c>
      <c r="Q72" s="257">
        <f>IF(Q70&lt;Q62,Q62,Q70)</f>
        <v>16</v>
      </c>
      <c r="R72" s="184" t="s">
        <v>454</v>
      </c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</row>
    <row r="73" spans="2:44" ht="27" hidden="1"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56" t="s">
        <v>353</v>
      </c>
      <c r="O73" s="179" t="s">
        <v>890</v>
      </c>
      <c r="P73" s="175" t="s">
        <v>586</v>
      </c>
      <c r="Q73" s="257">
        <f>Q61+Q60+Q65</f>
        <v>98</v>
      </c>
      <c r="R73" s="184" t="s">
        <v>454</v>
      </c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</row>
    <row r="74" spans="2:44" ht="27" hidden="1"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56" t="s">
        <v>355</v>
      </c>
      <c r="O74" s="179" t="s">
        <v>891</v>
      </c>
      <c r="P74" s="175" t="s">
        <v>892</v>
      </c>
      <c r="Q74" s="257">
        <f>Q61+Q60+Q66</f>
        <v>72</v>
      </c>
      <c r="R74" s="184" t="s">
        <v>454</v>
      </c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</row>
    <row r="75" spans="2:44" ht="81" hidden="1">
      <c r="B75" s="166"/>
      <c r="C75" s="166"/>
      <c r="D75" s="166"/>
      <c r="E75" s="166"/>
      <c r="F75" s="166"/>
      <c r="G75" s="166"/>
      <c r="H75" s="166"/>
      <c r="I75" s="166"/>
      <c r="J75" s="151"/>
      <c r="K75" s="166"/>
      <c r="L75" s="166"/>
      <c r="M75" s="166"/>
      <c r="N75" s="156" t="s">
        <v>357</v>
      </c>
      <c r="O75" s="179" t="s">
        <v>246</v>
      </c>
      <c r="P75" s="175" t="s">
        <v>893</v>
      </c>
      <c r="Q75" s="257">
        <f>Q69*(E57+Q61)+Q71*(Q72+Q61+Q60)</f>
        <v>27324634</v>
      </c>
      <c r="R75" s="184" t="s">
        <v>454</v>
      </c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</row>
    <row r="76" spans="2:44" ht="54" hidden="1"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225" t="s">
        <v>358</v>
      </c>
      <c r="O76" s="179" t="s">
        <v>894</v>
      </c>
      <c r="P76" s="179" t="s">
        <v>895</v>
      </c>
      <c r="Q76" s="258">
        <f>(2+Q71+Q69)*(Q59+E58)</f>
        <v>214908</v>
      </c>
      <c r="R76" s="188" t="s">
        <v>454</v>
      </c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</row>
    <row r="77" spans="2:44" ht="40.5" hidden="1"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2" t="s">
        <v>359</v>
      </c>
      <c r="O77" s="163" t="s">
        <v>896</v>
      </c>
      <c r="P77" s="163" t="s">
        <v>607</v>
      </c>
      <c r="Q77" s="246">
        <f>Q73+Q74+Q75+Q76</f>
        <v>27539712</v>
      </c>
      <c r="R77" s="188" t="s">
        <v>454</v>
      </c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</row>
    <row r="78" spans="2:44" ht="27" hidden="1"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225" t="s">
        <v>361</v>
      </c>
      <c r="O78" s="179" t="s">
        <v>360</v>
      </c>
      <c r="P78" s="179" t="s">
        <v>897</v>
      </c>
      <c r="Q78" s="243">
        <f>INT(1000000*E56*(100-E59)/80)</f>
        <v>1125000000</v>
      </c>
      <c r="R78" s="232" t="s">
        <v>898</v>
      </c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</row>
    <row r="79" spans="2:44" ht="40.5" hidden="1"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226" t="s">
        <v>363</v>
      </c>
      <c r="O79" s="192" t="s">
        <v>362</v>
      </c>
      <c r="P79" s="192" t="s">
        <v>1200</v>
      </c>
      <c r="Q79" s="250">
        <f>ROUNDUP(Q77*1000000/Q78,0)*10</f>
        <v>244800</v>
      </c>
      <c r="R79" s="233" t="s">
        <v>478</v>
      </c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</row>
    <row r="80" spans="2:44" hidden="1">
      <c r="H80" s="166"/>
      <c r="I80" s="166"/>
      <c r="J80" s="166"/>
      <c r="K80" s="166"/>
      <c r="L80" s="166"/>
    </row>
    <row r="81" spans="8:18" hidden="1">
      <c r="H81" s="166"/>
      <c r="I81" s="166"/>
      <c r="J81" s="166"/>
      <c r="K81" s="166"/>
      <c r="L81" s="166"/>
      <c r="N81" s="148"/>
      <c r="O81" s="148"/>
      <c r="P81" s="148"/>
      <c r="Q81" s="148"/>
      <c r="R81" s="148"/>
    </row>
    <row r="82" spans="8:18" hidden="1">
      <c r="N82" s="148"/>
      <c r="O82" s="148"/>
      <c r="P82" s="148"/>
      <c r="Q82" s="148"/>
      <c r="R82" s="148"/>
    </row>
    <row r="83" spans="8:18">
      <c r="N83" s="148"/>
      <c r="O83" s="148"/>
      <c r="P83" s="148"/>
      <c r="Q83" s="148"/>
      <c r="R83" s="148"/>
    </row>
    <row r="84" spans="8:18">
      <c r="N84" s="148"/>
      <c r="O84" s="148"/>
      <c r="P84" s="148"/>
      <c r="Q84" s="148"/>
      <c r="R84" s="148"/>
    </row>
    <row r="85" spans="8:18">
      <c r="N85" s="148"/>
      <c r="O85" s="148"/>
      <c r="P85" s="148"/>
      <c r="Q85" s="148"/>
      <c r="R85" s="148"/>
    </row>
    <row r="86" spans="8:18">
      <c r="N86" s="148"/>
      <c r="O86" s="148"/>
      <c r="P86" s="148"/>
      <c r="Q86" s="148"/>
      <c r="R86" s="148"/>
    </row>
    <row r="87" spans="8:18">
      <c r="N87" s="148"/>
      <c r="O87" s="148"/>
      <c r="P87" s="148"/>
      <c r="Q87" s="148"/>
      <c r="R87" s="148"/>
    </row>
    <row r="88" spans="8:18">
      <c r="N88" s="148"/>
      <c r="O88" s="148"/>
      <c r="P88" s="148"/>
      <c r="Q88" s="148"/>
      <c r="R88" s="148"/>
    </row>
    <row r="89" spans="8:18">
      <c r="N89" s="148"/>
      <c r="O89" s="148"/>
      <c r="P89" s="148"/>
      <c r="Q89" s="148"/>
      <c r="R89" s="148"/>
    </row>
    <row r="90" spans="8:18">
      <c r="N90" s="148"/>
      <c r="O90" s="148"/>
      <c r="P90" s="148"/>
      <c r="Q90" s="148"/>
      <c r="R90" s="148"/>
    </row>
    <row r="91" spans="8:18">
      <c r="N91" s="148"/>
      <c r="O91" s="148"/>
      <c r="P91" s="148"/>
      <c r="Q91" s="148"/>
      <c r="R91" s="148"/>
    </row>
    <row r="92" spans="8:18">
      <c r="N92" s="148"/>
      <c r="O92" s="148"/>
      <c r="P92" s="148"/>
      <c r="Q92" s="148"/>
      <c r="R92" s="148"/>
    </row>
  </sheetData>
  <sheetProtection algorithmName="SHA-512" hashValue="5qToYbP8DSVoNCMHe1le7ydMLk8nm1l9Xo5lER4oFESgHpJtXuBkiSBEb1lPPWAWkeTzzOCA57nDCR4EDqiGxQ==" saltValue="31vrf9OGwoUH0mLOjwQ8uQ==" spinCount="100000" sheet="1" objects="1" selectLockedCells="1"/>
  <mergeCells count="25">
    <mergeCell ref="H38:L38"/>
    <mergeCell ref="N38:R38"/>
    <mergeCell ref="T38:AR38"/>
    <mergeCell ref="B39:F39"/>
    <mergeCell ref="H39:L39"/>
    <mergeCell ref="N39:R39"/>
    <mergeCell ref="B41:F41"/>
    <mergeCell ref="B43:F43"/>
    <mergeCell ref="H44:L44"/>
    <mergeCell ref="B46:F46"/>
    <mergeCell ref="B48:F48"/>
    <mergeCell ref="H49:L49"/>
    <mergeCell ref="N50:R50"/>
    <mergeCell ref="B53:F53"/>
    <mergeCell ref="H54:L54"/>
    <mergeCell ref="B55:F55"/>
    <mergeCell ref="B66:F66"/>
    <mergeCell ref="C67:D67"/>
    <mergeCell ref="E67:F67"/>
    <mergeCell ref="T56:X56"/>
    <mergeCell ref="H58:L58"/>
    <mergeCell ref="B60:F60"/>
    <mergeCell ref="H60:L60"/>
    <mergeCell ref="B63:F63"/>
    <mergeCell ref="N63:R63"/>
  </mergeCells>
  <phoneticPr fontId="37" type="noConversion"/>
  <dataValidations count="31">
    <dataValidation type="custom" allowBlank="1" showInputMessage="1" showErrorMessage="1" errorTitle="Input parameter error" error="Input range is 1 or 2." sqref="B6:B7">
      <formula1>OR((B6=1),(B6=2))</formula1>
    </dataValidation>
    <dataValidation allowBlank="1" showErrorMessage="1" promptTitle="参数变化" prompt="该参数会根据当前生效的水平像素Binning、水平像素抽样变化" sqref="B2"/>
    <dataValidation allowBlank="1" showInputMessage="1" showErrorMessage="1" error="输入范围是64~1024，步长为2" sqref="A1:B1"/>
    <dataValidation allowBlank="1" showErrorMessage="1" promptTitle="参数变化" prompt="该参数会根据当前生效的垂直像素Binning、垂直像素抽样变化" sqref="B3"/>
    <dataValidation type="custom" allowBlank="1" showInputMessage="1" showErrorMessage="1" errorTitle="Input parameter error" error="Input 8 or 12." sqref="B10">
      <formula1>OR((B10=8),(B10=12))</formula1>
    </dataValidation>
    <dataValidation type="whole" allowBlank="1" showInputMessage="1" showErrorMessage="1" error="The input range: [0,5000]" sqref="B9">
      <formula1>0</formula1>
      <formula2>5000</formula2>
    </dataValidation>
    <dataValidation type="custom" allowBlank="1" showInputMessage="1" showErrorMessage="1" errorTitle="Input parameter error" error="Input range from 4 to WidthMax, and is an integer multiple of 4." sqref="B4">
      <formula1>AND((B4&lt;=B2),(B4&gt;=4),(MOD(B4,4)=0))</formula1>
    </dataValidation>
    <dataValidation type="custom" allowBlank="1" showInputMessage="1" showErrorMessage="1" errorTitle="Input parameter error" error="Input range from 2 to HeightMax, and is an integer multiple of 2." sqref="B5">
      <formula1>AND((B5&lt;=B3),(B5&gt;=2),(MOD(B5,2)=0))</formula1>
    </dataValidation>
    <dataValidation type="whole" allowBlank="1" showInputMessage="1" showErrorMessage="1" errorTitle="Input parameter error" error="Input range is 0 to GevSCPDMaxValue." sqref="B12">
      <formula1>0</formula1>
      <formula2>B13</formula2>
    </dataValidation>
    <dataValidation type="whole" allowBlank="1" showInputMessage="1" showErrorMessage="1" errorTitle="Input parameter error" error="Input range from 14 to 1000000." sqref="B8">
      <formula1>14</formula1>
      <formula2>1000000</formula2>
    </dataValidation>
    <dataValidation type="custom" allowBlank="1" showInputMessage="1" showErrorMessage="1" errorTitle="Input parameter error" error="Input range is 512~8192, step is 4." sqref="B11">
      <formula1>AND((B11&lt;=8192),(B11&gt;=512),(MOD(B11,4)=0))</formula1>
    </dataValidation>
    <dataValidation type="list" allowBlank="1" showInputMessage="1" showErrorMessage="1" sqref="E54">
      <formula1>"0,1"</formula1>
    </dataValidation>
    <dataValidation type="custom" allowBlank="1" showInputMessage="1" showErrorMessage="1" errorTitle="Input parameter error" error="Input range from 0.1 to 10000, step 0.1." sqref="B14">
      <formula1>AND(TRUNC(B14,1)=B14,(B14&gt;=0.1),(B14&lt;=10000))</formula1>
    </dataValidation>
    <dataValidation type="list" allowBlank="1" showInputMessage="1" showErrorMessage="1" errorTitle="Input parameter error" error="Please input 0 or 1." sqref="B15">
      <formula1>"0,1"</formula1>
    </dataValidation>
    <dataValidation type="whole" allowBlank="1" showInputMessage="1" showErrorMessage="1" errorTitle="输入数值非法" error="最小值2，最大值D13" sqref="E52">
      <formula1>2</formula1>
      <formula2>D52</formula2>
    </dataValidation>
    <dataValidation type="custom" allowBlank="1" showInputMessage="1" showErrorMessage="1" errorTitle="Input parameter error" error="Please input 1000 or 100." sqref="B16">
      <formula1>OR((B16=1000),(B16=100))</formula1>
    </dataValidation>
    <dataValidation type="whole" allowBlank="1" showInputMessage="1" showErrorMessage="1" errorTitle="Input parameter error" error="Input range is 0 to BandwidthReserveMaxValue, and is an integer multiple of 1." sqref="B17">
      <formula1>0</formula1>
      <formula2>B18</formula2>
    </dataValidation>
    <dataValidation type="list" allowBlank="1" showInputMessage="1" showErrorMessage="1" sqref="D38">
      <formula1>$R$8:$R$16</formula1>
    </dataValidation>
    <dataValidation type="list" allowBlank="1" showInputMessage="1" showErrorMessage="1" sqref="E42">
      <formula1>"8,12"</formula1>
    </dataValidation>
    <dataValidation type="whole" allowBlank="1" showInputMessage="1" showErrorMessage="1" errorTitle="超出范围" error="曝光时间的范围是14us-1s" sqref="E44">
      <formula1>14</formula1>
      <formula2>1000000</formula2>
    </dataValidation>
    <dataValidation type="whole" allowBlank="1" showInputMessage="1" showErrorMessage="1" errorTitle="超出范围" error="曝光延迟的范围是0-5000us" sqref="E45">
      <formula1>0</formula1>
      <formula2>5000</formula2>
    </dataValidation>
    <dataValidation type="whole" allowBlank="1" showInputMessage="1" showErrorMessage="1" errorTitle="超出范围" error="触发延时的范围是0-3000000us" sqref="E47">
      <formula1>0</formula1>
      <formula2>3000000</formula2>
    </dataValidation>
    <dataValidation type="whole" allowBlank="1" showInputMessage="1" showErrorMessage="1" errorTitle="输入数值非法" error="最小值4，最大值D12" sqref="E51">
      <formula1>4</formula1>
      <formula2>D51</formula2>
    </dataValidation>
    <dataValidation type="list" allowBlank="1" showInputMessage="1" showErrorMessage="1" sqref="E56">
      <formula1>"1000,100"</formula1>
    </dataValidation>
    <dataValidation type="custom" allowBlank="1" showInputMessage="1" showErrorMessage="1" sqref="E57">
      <formula1>AND(MOD(E57,4)=0,E57&gt;=512,E57&lt;=16384)</formula1>
    </dataValidation>
    <dataValidation type="whole" allowBlank="1" showInputMessage="1" showErrorMessage="1" errorTitle="设置值超出范围" error="包间隔设置值超出范围" sqref="E58">
      <formula1>0</formula1>
      <formula2>K59</formula2>
    </dataValidation>
    <dataValidation type="whole" allowBlank="1" showInputMessage="1" showErrorMessage="1" errorTitle="设置值超出范围" error="预留带宽设置值超出范围" sqref="E59">
      <formula1>0</formula1>
      <formula2>K61</formula2>
    </dataValidation>
    <dataValidation type="list" allowBlank="1" showInputMessage="1" showErrorMessage="1" errorTitle="超出范围" error="0:关闭_x000a_1:打开" sqref="E61">
      <formula1>"0,1"</formula1>
    </dataValidation>
    <dataValidation type="decimal" allowBlank="1" showInputMessage="1" showErrorMessage="1" sqref="E62">
      <formula1>0.1</formula1>
      <formula2>10000</formula2>
    </dataValidation>
    <dataValidation type="whole" errorStyle="information" operator="lessThanOrEqual" allowBlank="1" showErrorMessage="1" error="设置水平Binning/Skipping时，需要同步修改水平ROI" sqref="E64">
      <formula1>1</formula1>
    </dataValidation>
    <dataValidation type="whole" errorStyle="information" operator="lessThanOrEqual" allowBlank="1" showErrorMessage="1" error="设置垂直Binning/Skipping时，需要同步修改垂直ROI" sqref="E65">
      <formula1>1</formula1>
    </dataValidation>
  </dataValidation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2"/>
  <sheetViews>
    <sheetView workbookViewId="0">
      <selection activeCell="B17" sqref="B17"/>
    </sheetView>
  </sheetViews>
  <sheetFormatPr defaultColWidth="9" defaultRowHeight="13.5"/>
  <cols>
    <col min="1" max="1" width="29" style="137" customWidth="1"/>
    <col min="2" max="2" width="19" style="137" customWidth="1"/>
    <col min="3" max="3" width="23.125" style="137" customWidth="1"/>
    <col min="4" max="4" width="19" style="137" customWidth="1"/>
    <col min="5" max="6" width="10" style="137" customWidth="1"/>
    <col min="7" max="7" width="6.125" style="137" customWidth="1"/>
    <col min="8" max="8" width="15.125" style="137" customWidth="1"/>
    <col min="9" max="9" width="24.5" style="137" customWidth="1"/>
    <col min="10" max="10" width="28.625" style="137" customWidth="1"/>
    <col min="11" max="11" width="16.125" style="137" customWidth="1"/>
    <col min="12" max="12" width="7.5" style="137" customWidth="1"/>
    <col min="13" max="13" width="4.5" style="137" customWidth="1"/>
    <col min="14" max="14" width="19.625" style="137" customWidth="1"/>
    <col min="15" max="15" width="27.25" style="137" customWidth="1"/>
    <col min="16" max="16" width="29" style="137" customWidth="1"/>
    <col min="17" max="17" width="12.75" style="137" customWidth="1"/>
    <col min="18" max="18" width="9.625" style="137" customWidth="1"/>
    <col min="19" max="19" width="4.875" style="137" customWidth="1"/>
    <col min="20" max="20" width="17" style="137" customWidth="1"/>
    <col min="21" max="22" width="15.625" style="137" customWidth="1"/>
    <col min="23" max="23" width="15.75" style="137" customWidth="1"/>
    <col min="24" max="24" width="16.375" style="137" customWidth="1"/>
    <col min="25" max="25" width="18.875" style="137" customWidth="1"/>
    <col min="26" max="26" width="14.875" style="137" customWidth="1"/>
    <col min="27" max="27" width="15.25" style="137" customWidth="1"/>
    <col min="28" max="28" width="20.5" style="137" customWidth="1"/>
    <col min="29" max="29" width="22" style="137" customWidth="1"/>
    <col min="30" max="30" width="21.625" style="137" customWidth="1"/>
    <col min="31" max="31" width="20.625" style="137" customWidth="1"/>
    <col min="32" max="32" width="10" style="137" customWidth="1"/>
    <col min="33" max="33" width="9.75" style="137" customWidth="1"/>
    <col min="34" max="34" width="13.25" style="137" customWidth="1"/>
    <col min="35" max="35" width="13.875" style="137" customWidth="1"/>
    <col min="36" max="36" width="12.5" style="137" customWidth="1"/>
    <col min="37" max="37" width="23.875" style="137" customWidth="1"/>
    <col min="38" max="38" width="22.125" style="137" customWidth="1"/>
    <col min="39" max="39" width="17.5" style="137" customWidth="1"/>
    <col min="40" max="16384" width="9" style="137"/>
  </cols>
  <sheetData>
    <row r="1" spans="1:3">
      <c r="A1" s="138"/>
      <c r="B1" s="138"/>
    </row>
    <row r="2" spans="1:3">
      <c r="A2" s="104" t="s">
        <v>199</v>
      </c>
      <c r="B2" s="139">
        <f>D51/B6</f>
        <v>2600</v>
      </c>
    </row>
    <row r="3" spans="1:3">
      <c r="A3" s="104" t="s">
        <v>201</v>
      </c>
      <c r="B3" s="139">
        <f>D52/B7</f>
        <v>2160</v>
      </c>
    </row>
    <row r="4" spans="1:3">
      <c r="A4" s="138" t="s">
        <v>203</v>
      </c>
      <c r="B4" s="140">
        <v>2600</v>
      </c>
      <c r="C4" s="141" t="str">
        <f>IF(OR(B4&gt;B2,B4&lt;4),H24,"")</f>
        <v/>
      </c>
    </row>
    <row r="5" spans="1:3">
      <c r="A5" s="138" t="s">
        <v>205</v>
      </c>
      <c r="B5" s="140">
        <v>2160</v>
      </c>
      <c r="C5" s="141" t="str">
        <f>IF(OR(B5&gt;B3,B5&lt;2),H25,"")</f>
        <v/>
      </c>
    </row>
    <row r="6" spans="1:3">
      <c r="A6" s="104" t="s">
        <v>211</v>
      </c>
      <c r="B6" s="142">
        <v>1</v>
      </c>
    </row>
    <row r="7" spans="1:3">
      <c r="A7" s="104" t="s">
        <v>213</v>
      </c>
      <c r="B7" s="142">
        <v>1</v>
      </c>
    </row>
    <row r="8" spans="1:3">
      <c r="A8" s="138" t="s">
        <v>215</v>
      </c>
      <c r="B8" s="140">
        <v>40000</v>
      </c>
    </row>
    <row r="9" spans="1:3">
      <c r="A9" s="138" t="s">
        <v>217</v>
      </c>
      <c r="B9" s="143">
        <v>0</v>
      </c>
    </row>
    <row r="10" spans="1:3">
      <c r="A10" s="138" t="s">
        <v>219</v>
      </c>
      <c r="B10" s="140">
        <v>8</v>
      </c>
    </row>
    <row r="11" spans="1:3">
      <c r="A11" s="138" t="s">
        <v>221</v>
      </c>
      <c r="B11" s="140">
        <v>1500</v>
      </c>
    </row>
    <row r="12" spans="1:3">
      <c r="A12" s="138" t="s">
        <v>223</v>
      </c>
      <c r="B12" s="140">
        <v>0</v>
      </c>
    </row>
    <row r="13" spans="1:3">
      <c r="A13" s="138" t="s">
        <v>225</v>
      </c>
      <c r="B13" s="144">
        <f>K59</f>
        <v>180000</v>
      </c>
    </row>
    <row r="14" spans="1:3">
      <c r="A14" s="138" t="s">
        <v>227</v>
      </c>
      <c r="B14" s="140">
        <v>21</v>
      </c>
    </row>
    <row r="15" spans="1:3">
      <c r="A15" s="138" t="s">
        <v>229</v>
      </c>
      <c r="B15" s="140">
        <v>0</v>
      </c>
    </row>
    <row r="16" spans="1:3">
      <c r="A16" s="138" t="s">
        <v>231</v>
      </c>
      <c r="B16" s="140">
        <v>1000</v>
      </c>
    </row>
    <row r="17" spans="1:8">
      <c r="A17" s="138" t="s">
        <v>233</v>
      </c>
      <c r="B17" s="140">
        <v>10</v>
      </c>
    </row>
    <row r="18" spans="1:8">
      <c r="A18" s="138" t="s">
        <v>235</v>
      </c>
      <c r="B18" s="144">
        <f>K61</f>
        <v>99</v>
      </c>
    </row>
    <row r="19" spans="1:8" hidden="1">
      <c r="A19" s="138"/>
      <c r="B19" s="144"/>
    </row>
    <row r="20" spans="1:8" ht="14.25">
      <c r="A20" s="145"/>
      <c r="B20" s="146"/>
    </row>
    <row r="21" spans="1:8" ht="14.25">
      <c r="A21" s="145" t="s">
        <v>273</v>
      </c>
      <c r="B21" s="147">
        <f>K43</f>
        <v>19.065776930409914</v>
      </c>
      <c r="C21" s="141" t="str">
        <f>IF(H30,H26,"")</f>
        <v/>
      </c>
    </row>
    <row r="22" spans="1:8" ht="12" customHeight="1"/>
    <row r="23" spans="1:8" ht="27" hidden="1">
      <c r="H23" s="119" t="s">
        <v>274</v>
      </c>
    </row>
    <row r="24" spans="1:8" hidden="1">
      <c r="H24" s="115" t="s">
        <v>1125</v>
      </c>
    </row>
    <row r="25" spans="1:8" hidden="1">
      <c r="H25" s="115" t="s">
        <v>276</v>
      </c>
    </row>
    <row r="26" spans="1:8" hidden="1">
      <c r="H26" t="s">
        <v>277</v>
      </c>
    </row>
    <row r="27" spans="1:8" hidden="1">
      <c r="H27"/>
    </row>
    <row r="28" spans="1:8" hidden="1">
      <c r="H28"/>
    </row>
    <row r="29" spans="1:8" hidden="1">
      <c r="H29" t="s">
        <v>278</v>
      </c>
    </row>
    <row r="30" spans="1:8" hidden="1">
      <c r="H30">
        <f>IF(OR(OR(B4&gt;B2,B4&lt;4),OR(B5&gt;B3,B5&lt;2)),1,0)</f>
        <v>0</v>
      </c>
    </row>
    <row r="31" spans="1:8" hidden="1"/>
    <row r="32" spans="1:8" hidden="1"/>
    <row r="33" spans="2:44" hidden="1"/>
    <row r="34" spans="2:44" hidden="1"/>
    <row r="35" spans="2:44" hidden="1"/>
    <row r="36" spans="2:44" hidden="1"/>
    <row r="37" spans="2:44" hidden="1">
      <c r="B37" s="148"/>
      <c r="C37" s="148"/>
      <c r="E37" s="148"/>
      <c r="F37" s="148"/>
      <c r="T37" s="148"/>
      <c r="U37" s="148"/>
      <c r="V37" s="148"/>
      <c r="W37" s="148"/>
      <c r="X37" s="148"/>
      <c r="Y37" s="148"/>
    </row>
    <row r="38" spans="2:44" ht="14.25" hidden="1" customHeight="1">
      <c r="B38" s="149" t="s">
        <v>430</v>
      </c>
      <c r="C38" s="149" t="s">
        <v>431</v>
      </c>
      <c r="D38" s="150" t="s">
        <v>1201</v>
      </c>
      <c r="E38" s="151"/>
      <c r="F38" s="151"/>
      <c r="G38" s="151"/>
      <c r="H38" s="874" t="s">
        <v>435</v>
      </c>
      <c r="I38" s="875"/>
      <c r="J38" s="875"/>
      <c r="K38" s="875"/>
      <c r="L38" s="876"/>
      <c r="M38" s="176"/>
      <c r="N38" s="874" t="s">
        <v>656</v>
      </c>
      <c r="O38" s="875"/>
      <c r="P38" s="875"/>
      <c r="Q38" s="875"/>
      <c r="R38" s="876"/>
      <c r="S38" s="176"/>
      <c r="T38" s="877" t="s">
        <v>657</v>
      </c>
      <c r="U38" s="878"/>
      <c r="V38" s="878"/>
      <c r="W38" s="878"/>
      <c r="X38" s="878"/>
      <c r="Y38" s="878"/>
      <c r="Z38" s="878"/>
      <c r="AA38" s="878"/>
      <c r="AB38" s="878"/>
      <c r="AC38" s="878"/>
      <c r="AD38" s="878"/>
      <c r="AE38" s="878"/>
      <c r="AF38" s="878"/>
      <c r="AG38" s="878"/>
      <c r="AH38" s="878"/>
      <c r="AI38" s="878"/>
      <c r="AJ38" s="878"/>
      <c r="AK38" s="878"/>
      <c r="AL38" s="878"/>
      <c r="AM38" s="878"/>
      <c r="AN38" s="878"/>
      <c r="AO38" s="878"/>
      <c r="AP38" s="878"/>
      <c r="AQ38" s="878"/>
      <c r="AR38" s="879"/>
    </row>
    <row r="39" spans="2:44" ht="67.5" hidden="1">
      <c r="B39" s="874" t="s">
        <v>658</v>
      </c>
      <c r="C39" s="875"/>
      <c r="D39" s="875"/>
      <c r="E39" s="875"/>
      <c r="F39" s="876"/>
      <c r="G39" s="151"/>
      <c r="H39" s="760" t="s">
        <v>252</v>
      </c>
      <c r="I39" s="761"/>
      <c r="J39" s="761"/>
      <c r="K39" s="761"/>
      <c r="L39" s="762"/>
      <c r="M39" s="176"/>
      <c r="N39" s="760" t="s">
        <v>1127</v>
      </c>
      <c r="O39" s="761"/>
      <c r="P39" s="761"/>
      <c r="Q39" s="761"/>
      <c r="R39" s="762"/>
      <c r="S39" s="176"/>
      <c r="T39" s="195" t="s">
        <v>660</v>
      </c>
      <c r="U39" s="196" t="s">
        <v>661</v>
      </c>
      <c r="V39" s="196" t="s">
        <v>1128</v>
      </c>
      <c r="W39" s="196" t="s">
        <v>1129</v>
      </c>
      <c r="X39" s="196" t="s">
        <v>664</v>
      </c>
      <c r="Y39" s="196" t="s">
        <v>665</v>
      </c>
      <c r="Z39" s="196" t="s">
        <v>1067</v>
      </c>
      <c r="AA39" s="196" t="s">
        <v>1068</v>
      </c>
      <c r="AB39" s="196" t="s">
        <v>1069</v>
      </c>
      <c r="AC39" s="196" t="s">
        <v>1070</v>
      </c>
      <c r="AD39" s="196" t="s">
        <v>1071</v>
      </c>
      <c r="AE39" s="196" t="s">
        <v>1072</v>
      </c>
      <c r="AF39" s="196" t="s">
        <v>1202</v>
      </c>
      <c r="AG39" s="196" t="s">
        <v>1131</v>
      </c>
      <c r="AH39" s="196" t="s">
        <v>1132</v>
      </c>
      <c r="AI39" s="196" t="s">
        <v>1133</v>
      </c>
      <c r="AJ39" s="196" t="s">
        <v>1134</v>
      </c>
      <c r="AK39" s="196" t="s">
        <v>1135</v>
      </c>
      <c r="AL39" s="196" t="s">
        <v>1136</v>
      </c>
      <c r="AM39" s="215" t="s">
        <v>1137</v>
      </c>
      <c r="AN39" s="196" t="s">
        <v>1138</v>
      </c>
      <c r="AO39" s="196" t="s">
        <v>1139</v>
      </c>
      <c r="AP39" s="196" t="s">
        <v>1140</v>
      </c>
      <c r="AQ39" s="196" t="s">
        <v>1141</v>
      </c>
      <c r="AR39" s="218" t="s">
        <v>1142</v>
      </c>
    </row>
    <row r="40" spans="2:44" ht="27" hidden="1">
      <c r="B40" s="152" t="s">
        <v>444</v>
      </c>
      <c r="C40" s="153" t="s">
        <v>438</v>
      </c>
      <c r="D40" s="153" t="s">
        <v>445</v>
      </c>
      <c r="E40" s="153" t="s">
        <v>442</v>
      </c>
      <c r="F40" s="154" t="s">
        <v>449</v>
      </c>
      <c r="G40" s="151"/>
      <c r="H40" s="155" t="s">
        <v>444</v>
      </c>
      <c r="I40" s="177" t="s">
        <v>438</v>
      </c>
      <c r="J40" s="177" t="s">
        <v>447</v>
      </c>
      <c r="K40" s="177" t="s">
        <v>448</v>
      </c>
      <c r="L40" s="178" t="s">
        <v>449</v>
      </c>
      <c r="M40" s="176"/>
      <c r="N40" s="152" t="s">
        <v>444</v>
      </c>
      <c r="O40" s="153" t="s">
        <v>438</v>
      </c>
      <c r="P40" s="153" t="s">
        <v>447</v>
      </c>
      <c r="Q40" s="153" t="s">
        <v>688</v>
      </c>
      <c r="R40" s="197" t="s">
        <v>449</v>
      </c>
      <c r="S40" s="176"/>
      <c r="T40" s="198" t="s">
        <v>1126</v>
      </c>
      <c r="U40" s="199" t="s">
        <v>1143</v>
      </c>
      <c r="V40" s="199">
        <v>60</v>
      </c>
      <c r="W40" s="199">
        <v>50</v>
      </c>
      <c r="X40" s="200">
        <v>1</v>
      </c>
      <c r="Y40" s="200">
        <v>4</v>
      </c>
      <c r="Z40" s="200">
        <v>128</v>
      </c>
      <c r="AA40" s="200">
        <v>4</v>
      </c>
      <c r="AB40" s="199">
        <v>5376</v>
      </c>
      <c r="AC40" s="199">
        <v>1</v>
      </c>
      <c r="AD40" s="199">
        <v>5376</v>
      </c>
      <c r="AE40" s="199">
        <v>5184</v>
      </c>
      <c r="AF40" s="200">
        <f>ROUNDUP((6*AG40/$Q$41)*1000,0)+ROUNDUP(3*$K$41,0)</f>
        <v>60480</v>
      </c>
      <c r="AG40" s="216">
        <f>IF(E42=8,124,248)</f>
        <v>124</v>
      </c>
      <c r="AH40" s="216">
        <v>12</v>
      </c>
      <c r="AI40" s="216">
        <v>2</v>
      </c>
      <c r="AJ40" s="216">
        <v>636</v>
      </c>
      <c r="AK40" s="216">
        <v>6</v>
      </c>
      <c r="AL40" s="216">
        <v>14</v>
      </c>
      <c r="AM40" s="217">
        <v>1</v>
      </c>
      <c r="AN40" s="199" t="s">
        <v>692</v>
      </c>
      <c r="AO40" s="199">
        <v>60000</v>
      </c>
      <c r="AP40" s="216">
        <v>5120</v>
      </c>
      <c r="AQ40" s="216">
        <v>5120</v>
      </c>
      <c r="AR40" s="219">
        <v>4</v>
      </c>
    </row>
    <row r="41" spans="2:44" ht="27" hidden="1">
      <c r="B41" s="760" t="s">
        <v>218</v>
      </c>
      <c r="C41" s="761"/>
      <c r="D41" s="761"/>
      <c r="E41" s="761"/>
      <c r="F41" s="762"/>
      <c r="G41" s="151"/>
      <c r="H41" s="156" t="s">
        <v>321</v>
      </c>
      <c r="I41" s="175" t="s">
        <v>320</v>
      </c>
      <c r="J41" s="179" t="s">
        <v>1144</v>
      </c>
      <c r="K41" s="180">
        <f>ROUNDUP(1000*Q44*Q42/Q41,0)</f>
        <v>15200</v>
      </c>
      <c r="L41" s="156" t="s">
        <v>461</v>
      </c>
      <c r="M41" s="176"/>
      <c r="N41" s="157" t="s">
        <v>288</v>
      </c>
      <c r="O41" s="158" t="s">
        <v>287</v>
      </c>
      <c r="P41" s="158" t="s">
        <v>1145</v>
      </c>
      <c r="Q41" s="183">
        <f>VLOOKUP(D38,$T$39:$AR$49,4,FALSE)</f>
        <v>50</v>
      </c>
      <c r="R41" s="184" t="s">
        <v>626</v>
      </c>
      <c r="S41" s="176"/>
      <c r="T41" s="201" t="s">
        <v>1203</v>
      </c>
      <c r="U41" s="201" t="s">
        <v>1204</v>
      </c>
      <c r="V41" s="201">
        <v>60</v>
      </c>
      <c r="W41" s="201">
        <v>50</v>
      </c>
      <c r="X41" s="202">
        <v>1</v>
      </c>
      <c r="Y41" s="202">
        <v>4</v>
      </c>
      <c r="Z41" s="202">
        <v>114</v>
      </c>
      <c r="AA41" s="202">
        <v>4</v>
      </c>
      <c r="AB41" s="201">
        <v>4736</v>
      </c>
      <c r="AC41" s="201">
        <v>1</v>
      </c>
      <c r="AD41" s="201">
        <v>4736</v>
      </c>
      <c r="AE41" s="201">
        <v>4160</v>
      </c>
      <c r="AF41" s="202" t="e">
        <f>ROUNDUP((AG41/$P$5)*1000,0)</f>
        <v>#DIV/0!</v>
      </c>
      <c r="AG41" s="212">
        <v>152</v>
      </c>
      <c r="AH41" s="212">
        <v>8</v>
      </c>
      <c r="AI41" s="212">
        <v>2</v>
      </c>
      <c r="AJ41" s="212">
        <v>119</v>
      </c>
      <c r="AK41" s="212">
        <v>6</v>
      </c>
      <c r="AL41" s="212">
        <v>14</v>
      </c>
      <c r="AM41" s="201">
        <v>1</v>
      </c>
      <c r="AN41" s="201" t="s">
        <v>692</v>
      </c>
      <c r="AO41" s="201">
        <v>60000</v>
      </c>
      <c r="AP41" s="212">
        <v>4508</v>
      </c>
      <c r="AQ41" s="212">
        <v>4096</v>
      </c>
      <c r="AR41" s="201">
        <v>6</v>
      </c>
    </row>
    <row r="42" spans="2:44" ht="40.5" hidden="1">
      <c r="B42" s="157" t="s">
        <v>1146</v>
      </c>
      <c r="C42" s="158" t="s">
        <v>218</v>
      </c>
      <c r="D42" s="158">
        <v>8</v>
      </c>
      <c r="E42" s="159">
        <f>B10</f>
        <v>8</v>
      </c>
      <c r="F42" s="160" t="s">
        <v>594</v>
      </c>
      <c r="G42" s="151"/>
      <c r="H42" s="156" t="s">
        <v>1147</v>
      </c>
      <c r="I42" s="175" t="s">
        <v>251</v>
      </c>
      <c r="J42" s="179" t="s">
        <v>1148</v>
      </c>
      <c r="K42" s="180">
        <f>MAX(K45,K46,K47,K48)+K53</f>
        <v>52450</v>
      </c>
      <c r="L42" s="156" t="s">
        <v>478</v>
      </c>
      <c r="M42" s="166"/>
      <c r="N42" s="157" t="s">
        <v>1149</v>
      </c>
      <c r="O42" s="158" t="s">
        <v>1149</v>
      </c>
      <c r="P42" s="158" t="s">
        <v>1145</v>
      </c>
      <c r="Q42" s="183">
        <f>VLOOKUP(D38,$T$39:$AR$49,14,FALSE)</f>
        <v>152</v>
      </c>
      <c r="R42" s="184" t="s">
        <v>704</v>
      </c>
      <c r="S42" s="166"/>
      <c r="T42" s="201" t="s">
        <v>1205</v>
      </c>
      <c r="U42" s="201" t="s">
        <v>1206</v>
      </c>
      <c r="V42" s="201">
        <v>60</v>
      </c>
      <c r="W42" s="201">
        <v>50</v>
      </c>
      <c r="X42" s="202">
        <v>1</v>
      </c>
      <c r="Y42" s="202">
        <v>4</v>
      </c>
      <c r="Z42" s="202">
        <v>140</v>
      </c>
      <c r="AA42" s="202">
        <v>4</v>
      </c>
      <c r="AB42" s="201">
        <v>4480</v>
      </c>
      <c r="AC42" s="201">
        <v>1</v>
      </c>
      <c r="AD42" s="201">
        <v>4480</v>
      </c>
      <c r="AE42" s="201">
        <v>2224</v>
      </c>
      <c r="AF42" s="212">
        <f>ROUNDUP(AG42/$Q$41*1000,0)+ROUNDUP(7*$K$41,0)</f>
        <v>109440</v>
      </c>
      <c r="AG42" s="212">
        <v>152</v>
      </c>
      <c r="AH42" s="212">
        <v>8</v>
      </c>
      <c r="AI42" s="212">
        <v>2</v>
      </c>
      <c r="AJ42" s="212">
        <v>119</v>
      </c>
      <c r="AK42" s="212">
        <v>6</v>
      </c>
      <c r="AL42" s="212">
        <v>14</v>
      </c>
      <c r="AM42" s="201">
        <v>1</v>
      </c>
      <c r="AN42" s="201" t="s">
        <v>692</v>
      </c>
      <c r="AO42" s="201">
        <v>60000</v>
      </c>
      <c r="AP42" s="212">
        <v>4200</v>
      </c>
      <c r="AQ42" s="212">
        <v>2160</v>
      </c>
      <c r="AR42" s="201">
        <v>13</v>
      </c>
    </row>
    <row r="43" spans="2:44" ht="27" hidden="1">
      <c r="B43" s="760" t="s">
        <v>214</v>
      </c>
      <c r="C43" s="761"/>
      <c r="D43" s="761"/>
      <c r="E43" s="761"/>
      <c r="F43" s="762"/>
      <c r="G43" s="151"/>
      <c r="H43" s="156" t="s">
        <v>1150</v>
      </c>
      <c r="I43" s="175" t="s">
        <v>252</v>
      </c>
      <c r="J43" s="179" t="s">
        <v>1151</v>
      </c>
      <c r="K43" s="181">
        <f>1000000/K42</f>
        <v>19.065776930409914</v>
      </c>
      <c r="L43" s="156" t="s">
        <v>488</v>
      </c>
      <c r="M43" s="166"/>
      <c r="N43" s="157" t="s">
        <v>1152</v>
      </c>
      <c r="O43" s="158" t="s">
        <v>299</v>
      </c>
      <c r="P43" s="158" t="s">
        <v>1145</v>
      </c>
      <c r="Q43" s="183">
        <f>VLOOKUP(D38,$T$39:$AR$49,13,FALSE)</f>
        <v>109440</v>
      </c>
      <c r="R43" s="184" t="s">
        <v>461</v>
      </c>
      <c r="S43" s="166"/>
      <c r="T43" s="201" t="s">
        <v>1201</v>
      </c>
      <c r="U43" s="201" t="s">
        <v>1207</v>
      </c>
      <c r="V43" s="201">
        <v>60</v>
      </c>
      <c r="W43" s="201">
        <v>50</v>
      </c>
      <c r="X43" s="202">
        <v>1</v>
      </c>
      <c r="Y43" s="202">
        <v>4</v>
      </c>
      <c r="Z43" s="202">
        <v>100</v>
      </c>
      <c r="AA43" s="202">
        <v>4</v>
      </c>
      <c r="AB43" s="201">
        <v>2800</v>
      </c>
      <c r="AC43" s="201">
        <v>1</v>
      </c>
      <c r="AD43" s="201">
        <v>2800</v>
      </c>
      <c r="AE43" s="201">
        <v>2224</v>
      </c>
      <c r="AF43" s="212">
        <f>ROUNDUP(AG43/$Q$41*1000,0)+ROUNDUP(7*$K$41,0)</f>
        <v>109440</v>
      </c>
      <c r="AG43" s="212">
        <f>IF(E42=8,152,304)</f>
        <v>152</v>
      </c>
      <c r="AH43" s="212">
        <v>5</v>
      </c>
      <c r="AI43" s="212">
        <v>2</v>
      </c>
      <c r="AJ43" s="212">
        <v>119</v>
      </c>
      <c r="AK43" s="212">
        <v>6</v>
      </c>
      <c r="AL43" s="212">
        <v>14</v>
      </c>
      <c r="AM43" s="201">
        <v>1</v>
      </c>
      <c r="AN43" s="201" t="s">
        <v>692</v>
      </c>
      <c r="AO43" s="201">
        <v>40000</v>
      </c>
      <c r="AP43" s="212">
        <v>2600</v>
      </c>
      <c r="AQ43" s="212">
        <v>2160</v>
      </c>
      <c r="AR43" s="201">
        <v>21</v>
      </c>
    </row>
    <row r="44" spans="2:44" ht="13.5" hidden="1" customHeight="1">
      <c r="B44" s="157" t="s">
        <v>805</v>
      </c>
      <c r="C44" s="158" t="s">
        <v>214</v>
      </c>
      <c r="D44" s="158">
        <f>VLOOKUP(D38,$T$39:$AR$49,22,FALSE)</f>
        <v>40000</v>
      </c>
      <c r="E44" s="159">
        <f>B8</f>
        <v>40000</v>
      </c>
      <c r="F44" s="161" t="s">
        <v>478</v>
      </c>
      <c r="G44" s="151"/>
      <c r="H44" s="760" t="s">
        <v>510</v>
      </c>
      <c r="I44" s="761"/>
      <c r="J44" s="761"/>
      <c r="K44" s="761"/>
      <c r="L44" s="762"/>
      <c r="M44" s="166"/>
      <c r="N44" s="157" t="s">
        <v>1153</v>
      </c>
      <c r="O44" s="158" t="s">
        <v>1154</v>
      </c>
      <c r="P44" s="158" t="s">
        <v>1145</v>
      </c>
      <c r="Q44" s="183">
        <f>VLOOKUP(D38,$T$39:$AR$49,15,FALSE)</f>
        <v>5</v>
      </c>
      <c r="R44" s="184" t="s">
        <v>594</v>
      </c>
      <c r="S44" s="166"/>
      <c r="T44" s="59"/>
      <c r="U44" s="59"/>
      <c r="V44" s="59"/>
      <c r="W44" s="59"/>
      <c r="X44" s="59"/>
      <c r="Y44" s="59"/>
      <c r="Z44" s="59"/>
      <c r="AA44" s="59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</row>
    <row r="45" spans="2:44" ht="54" hidden="1">
      <c r="B45" s="157" t="s">
        <v>800</v>
      </c>
      <c r="C45" s="158" t="s">
        <v>216</v>
      </c>
      <c r="D45" s="158">
        <v>0</v>
      </c>
      <c r="E45" s="159">
        <f>B9</f>
        <v>0</v>
      </c>
      <c r="F45" s="161" t="s">
        <v>478</v>
      </c>
      <c r="G45" s="151"/>
      <c r="H45" s="156" t="s">
        <v>516</v>
      </c>
      <c r="I45" s="175" t="s">
        <v>517</v>
      </c>
      <c r="J45" s="179" t="s">
        <v>1155</v>
      </c>
      <c r="K45" s="180">
        <f>ROUNDUP(((E52+Q45+Q49)*K41+Q43)/1000,0)</f>
        <v>33170</v>
      </c>
      <c r="L45" s="182" t="s">
        <v>478</v>
      </c>
      <c r="M45" s="166"/>
      <c r="N45" s="157" t="s">
        <v>629</v>
      </c>
      <c r="O45" s="158" t="s">
        <v>630</v>
      </c>
      <c r="P45" s="158" t="s">
        <v>1145</v>
      </c>
      <c r="Q45" s="183">
        <f>VLOOKUP(D38,$T$39:$AR$49,19,FALSE)</f>
        <v>14</v>
      </c>
      <c r="R45" s="203" t="s">
        <v>469</v>
      </c>
      <c r="S45" s="166"/>
      <c r="T45" s="59"/>
      <c r="U45" s="59"/>
      <c r="V45" s="59"/>
      <c r="W45" s="59"/>
      <c r="X45" s="59"/>
      <c r="Y45" s="59"/>
      <c r="Z45" s="59"/>
      <c r="AA45" s="59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</row>
    <row r="46" spans="2:44" ht="27" hidden="1">
      <c r="B46" s="760" t="s">
        <v>747</v>
      </c>
      <c r="C46" s="761"/>
      <c r="D46" s="761"/>
      <c r="E46" s="761"/>
      <c r="F46" s="762"/>
      <c r="G46" s="151"/>
      <c r="H46" s="156" t="s">
        <v>522</v>
      </c>
      <c r="I46" s="175" t="s">
        <v>523</v>
      </c>
      <c r="J46" s="179" t="s">
        <v>1156</v>
      </c>
      <c r="K46" s="180">
        <f>ROUNDUP(E44-Q47/Q41+Q46*K41/1000+E45+Q43/1000,0)</f>
        <v>40138</v>
      </c>
      <c r="L46" s="182" t="s">
        <v>478</v>
      </c>
      <c r="M46" s="166"/>
      <c r="N46" s="157" t="s">
        <v>1157</v>
      </c>
      <c r="O46" s="158" t="s">
        <v>1158</v>
      </c>
      <c r="P46" s="158" t="s">
        <v>1145</v>
      </c>
      <c r="Q46" s="183">
        <f>VLOOKUP(D38,$T$39:$AR$49,16,FALSE)</f>
        <v>2</v>
      </c>
      <c r="R46" s="203" t="s">
        <v>469</v>
      </c>
      <c r="S46" s="166"/>
      <c r="T46" s="59"/>
      <c r="U46" s="59"/>
      <c r="V46" s="59"/>
      <c r="W46" s="59"/>
      <c r="X46" s="59"/>
      <c r="Y46" s="59"/>
      <c r="Z46" s="78"/>
      <c r="AA46" s="59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</row>
    <row r="47" spans="2:44" ht="27" hidden="1">
      <c r="B47" s="157" t="s">
        <v>1159</v>
      </c>
      <c r="C47" s="158" t="s">
        <v>503</v>
      </c>
      <c r="D47" s="158">
        <v>0</v>
      </c>
      <c r="E47" s="159">
        <v>0</v>
      </c>
      <c r="F47" s="160" t="s">
        <v>478</v>
      </c>
      <c r="G47" s="151"/>
      <c r="H47" s="157" t="s">
        <v>534</v>
      </c>
      <c r="I47" s="158" t="s">
        <v>535</v>
      </c>
      <c r="J47" s="158" t="s">
        <v>1160</v>
      </c>
      <c r="K47" s="183">
        <f>ROUNDUP((1000000/E62)*E61,0)</f>
        <v>0</v>
      </c>
      <c r="L47" s="184" t="s">
        <v>478</v>
      </c>
      <c r="M47" s="166"/>
      <c r="N47" s="157" t="s">
        <v>1161</v>
      </c>
      <c r="O47" s="158" t="s">
        <v>1162</v>
      </c>
      <c r="P47" s="158" t="s">
        <v>1145</v>
      </c>
      <c r="Q47" s="183">
        <f>VLOOKUP(D38,$T$39:$AR$49,17,FALSE)</f>
        <v>119</v>
      </c>
      <c r="R47" s="184" t="s">
        <v>1163</v>
      </c>
      <c r="S47" s="166"/>
      <c r="T47" s="204"/>
      <c r="U47" s="204"/>
      <c r="V47" s="204"/>
      <c r="W47" s="204"/>
      <c r="X47" s="204"/>
      <c r="Y47" s="204"/>
      <c r="Z47" s="213"/>
      <c r="AA47" s="213"/>
      <c r="AB47" s="166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</row>
    <row r="48" spans="2:44" ht="27" hidden="1">
      <c r="B48" s="760" t="s">
        <v>753</v>
      </c>
      <c r="C48" s="761"/>
      <c r="D48" s="761"/>
      <c r="E48" s="761"/>
      <c r="F48" s="762"/>
      <c r="G48" s="151"/>
      <c r="H48" s="157" t="s">
        <v>540</v>
      </c>
      <c r="I48" s="163" t="s">
        <v>417</v>
      </c>
      <c r="J48" s="179" t="s">
        <v>978</v>
      </c>
      <c r="K48" s="183">
        <f>Q79</f>
        <v>52450</v>
      </c>
      <c r="L48" s="184" t="s">
        <v>478</v>
      </c>
      <c r="M48" s="166"/>
      <c r="N48" s="157" t="s">
        <v>1164</v>
      </c>
      <c r="O48" s="158" t="s">
        <v>1165</v>
      </c>
      <c r="P48" s="158" t="s">
        <v>1145</v>
      </c>
      <c r="Q48" s="183">
        <f>VLOOKUP(D38,$T$39:$AR$49,18,FALSE)</f>
        <v>6</v>
      </c>
      <c r="R48" s="184" t="s">
        <v>469</v>
      </c>
      <c r="S48" s="166"/>
      <c r="T48" s="204"/>
      <c r="U48" s="205"/>
      <c r="V48" s="205"/>
      <c r="W48" s="205"/>
      <c r="X48" s="205"/>
      <c r="Y48" s="205"/>
      <c r="Z48" s="214"/>
      <c r="AA48" s="214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</row>
    <row r="49" spans="2:44" hidden="1">
      <c r="B49" s="157" t="s">
        <v>757</v>
      </c>
      <c r="C49" s="158" t="s">
        <v>758</v>
      </c>
      <c r="D49" s="158">
        <v>0</v>
      </c>
      <c r="E49" s="159">
        <v>0</v>
      </c>
      <c r="F49" s="160" t="s">
        <v>704</v>
      </c>
      <c r="G49" s="151"/>
      <c r="H49" s="760" t="s">
        <v>729</v>
      </c>
      <c r="I49" s="761"/>
      <c r="J49" s="761"/>
      <c r="K49" s="761"/>
      <c r="L49" s="762"/>
      <c r="M49" s="166"/>
      <c r="N49" s="157" t="s">
        <v>1166</v>
      </c>
      <c r="O49" s="158" t="s">
        <v>1167</v>
      </c>
      <c r="P49" s="158" t="s">
        <v>1145</v>
      </c>
      <c r="Q49" s="183">
        <v>1</v>
      </c>
      <c r="R49" s="184" t="s">
        <v>469</v>
      </c>
      <c r="S49" s="166"/>
      <c r="T49" s="204"/>
      <c r="U49" s="205"/>
      <c r="V49" s="205"/>
      <c r="W49" s="205"/>
      <c r="X49" s="205"/>
      <c r="Y49" s="205"/>
      <c r="Z49" s="214"/>
      <c r="AA49" s="214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</row>
    <row r="50" spans="2:44" ht="40.5" hidden="1">
      <c r="B50" s="162" t="s">
        <v>760</v>
      </c>
      <c r="C50" s="163" t="s">
        <v>761</v>
      </c>
      <c r="D50" s="163">
        <v>0</v>
      </c>
      <c r="E50" s="164">
        <v>0</v>
      </c>
      <c r="F50" s="161" t="s">
        <v>704</v>
      </c>
      <c r="G50" s="151"/>
      <c r="H50" s="162" t="s">
        <v>805</v>
      </c>
      <c r="I50" s="163" t="s">
        <v>1168</v>
      </c>
      <c r="J50" s="163" t="s">
        <v>1169</v>
      </c>
      <c r="K50" s="180">
        <f>ROUNDUP((1000*E44-1000*Q47/Q41)/1000,0)</f>
        <v>39998</v>
      </c>
      <c r="L50" s="182" t="s">
        <v>478</v>
      </c>
      <c r="M50" s="166"/>
      <c r="N50" s="760" t="s">
        <v>799</v>
      </c>
      <c r="O50" s="761"/>
      <c r="P50" s="761"/>
      <c r="Q50" s="761"/>
      <c r="R50" s="762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</row>
    <row r="51" spans="2:44" ht="27" hidden="1">
      <c r="B51" s="162" t="s">
        <v>202</v>
      </c>
      <c r="C51" s="163" t="s">
        <v>203</v>
      </c>
      <c r="D51" s="163">
        <f>VLOOKUP(D38,$T$39:$AR$49,23,FALSE)</f>
        <v>2600</v>
      </c>
      <c r="E51" s="164">
        <f>B4</f>
        <v>2600</v>
      </c>
      <c r="F51" s="161" t="s">
        <v>704</v>
      </c>
      <c r="G51" s="151"/>
      <c r="H51" s="162" t="s">
        <v>1170</v>
      </c>
      <c r="I51" s="163" t="s">
        <v>743</v>
      </c>
      <c r="J51" s="163" t="s">
        <v>484</v>
      </c>
      <c r="K51" s="180">
        <f>E45</f>
        <v>0</v>
      </c>
      <c r="L51" s="185" t="s">
        <v>469</v>
      </c>
      <c r="M51" s="166"/>
      <c r="N51" s="152" t="s">
        <v>444</v>
      </c>
      <c r="O51" s="153" t="s">
        <v>438</v>
      </c>
      <c r="P51" s="153" t="s">
        <v>447</v>
      </c>
      <c r="Q51" s="153" t="s">
        <v>688</v>
      </c>
      <c r="R51" s="197" t="s">
        <v>449</v>
      </c>
      <c r="S51" s="17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</row>
    <row r="52" spans="2:44" ht="94.5" hidden="1">
      <c r="B52" s="162" t="s">
        <v>204</v>
      </c>
      <c r="C52" s="163" t="s">
        <v>205</v>
      </c>
      <c r="D52" s="163">
        <f>VLOOKUP(D38,$T$39:$AR$49,24,FALSE)</f>
        <v>2160</v>
      </c>
      <c r="E52" s="164">
        <f>B5</f>
        <v>2160</v>
      </c>
      <c r="F52" s="161" t="s">
        <v>704</v>
      </c>
      <c r="G52" s="151"/>
      <c r="H52" s="162" t="s">
        <v>1171</v>
      </c>
      <c r="I52" s="163" t="s">
        <v>1172</v>
      </c>
      <c r="J52" s="163" t="s">
        <v>1173</v>
      </c>
      <c r="K52" s="186">
        <f>IF((MAX(K45,K46,K47,K48)-K50)&lt;K45,(IF((MAX(K45,K46,K47,K48)-K50)&gt;=(K45-ROUNDUP(6*K41/1000,0)),1,0)),0)</f>
        <v>0</v>
      </c>
      <c r="L52" s="185" t="s">
        <v>594</v>
      </c>
      <c r="M52" s="166"/>
      <c r="N52" s="157" t="s">
        <v>386</v>
      </c>
      <c r="O52" s="158" t="s">
        <v>452</v>
      </c>
      <c r="P52" s="158" t="s">
        <v>453</v>
      </c>
      <c r="Q52" s="183">
        <v>7</v>
      </c>
      <c r="R52" s="184" t="s">
        <v>454</v>
      </c>
      <c r="S52" s="17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</row>
    <row r="53" spans="2:44" ht="40.5" hidden="1">
      <c r="B53" s="760" t="s">
        <v>571</v>
      </c>
      <c r="C53" s="761"/>
      <c r="D53" s="761"/>
      <c r="E53" s="761"/>
      <c r="F53" s="762"/>
      <c r="G53" s="151"/>
      <c r="H53" s="162" t="s">
        <v>1174</v>
      </c>
      <c r="I53" s="163" t="s">
        <v>1175</v>
      </c>
      <c r="J53" s="163" t="s">
        <v>1176</v>
      </c>
      <c r="K53" s="186">
        <f>IF(K52=1,K45-(MAX(K45,K46,K47,K48)-K50),0)</f>
        <v>0</v>
      </c>
      <c r="L53" s="185" t="s">
        <v>478</v>
      </c>
      <c r="M53" s="166"/>
      <c r="N53" s="157" t="s">
        <v>387</v>
      </c>
      <c r="O53" s="158" t="s">
        <v>462</v>
      </c>
      <c r="P53" s="158" t="s">
        <v>463</v>
      </c>
      <c r="Q53" s="183">
        <v>1</v>
      </c>
      <c r="R53" s="184" t="s">
        <v>454</v>
      </c>
      <c r="S53" s="17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</row>
    <row r="54" spans="2:44" ht="27" hidden="1">
      <c r="B54" s="162" t="s">
        <v>779</v>
      </c>
      <c r="C54" s="163" t="s">
        <v>372</v>
      </c>
      <c r="D54" s="165">
        <v>0</v>
      </c>
      <c r="E54" s="164">
        <v>0</v>
      </c>
      <c r="F54" s="161" t="s">
        <v>594</v>
      </c>
      <c r="G54" s="151"/>
      <c r="H54" s="760" t="s">
        <v>366</v>
      </c>
      <c r="I54" s="761"/>
      <c r="J54" s="761"/>
      <c r="K54" s="761"/>
      <c r="L54" s="762"/>
      <c r="M54" s="166"/>
      <c r="N54" s="157" t="s">
        <v>388</v>
      </c>
      <c r="O54" s="158" t="s">
        <v>470</v>
      </c>
      <c r="P54" s="158" t="s">
        <v>471</v>
      </c>
      <c r="Q54" s="183">
        <v>14</v>
      </c>
      <c r="R54" s="184" t="s">
        <v>454</v>
      </c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</row>
    <row r="55" spans="2:44" ht="40.5" hidden="1">
      <c r="B55" s="760" t="s">
        <v>789</v>
      </c>
      <c r="C55" s="761"/>
      <c r="D55" s="761"/>
      <c r="E55" s="761"/>
      <c r="F55" s="762"/>
      <c r="G55" s="151"/>
      <c r="H55" s="162" t="s">
        <v>400</v>
      </c>
      <c r="I55" s="163" t="s">
        <v>762</v>
      </c>
      <c r="J55" s="163" t="s">
        <v>763</v>
      </c>
      <c r="K55" s="187">
        <f>K43*Q68</f>
        <v>107073403.24118207</v>
      </c>
      <c r="L55" s="188" t="s">
        <v>764</v>
      </c>
      <c r="M55" s="166"/>
      <c r="N55" s="157" t="s">
        <v>389</v>
      </c>
      <c r="O55" s="158" t="s">
        <v>479</v>
      </c>
      <c r="P55" s="158" t="s">
        <v>480</v>
      </c>
      <c r="Q55" s="183">
        <v>20</v>
      </c>
      <c r="R55" s="184" t="s">
        <v>454</v>
      </c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</row>
    <row r="56" spans="2:44" ht="27" hidden="1">
      <c r="B56" s="162" t="s">
        <v>230</v>
      </c>
      <c r="C56" s="163" t="s">
        <v>796</v>
      </c>
      <c r="D56" s="165" t="s">
        <v>594</v>
      </c>
      <c r="E56" s="164">
        <f>B16</f>
        <v>1000</v>
      </c>
      <c r="F56" s="161" t="s">
        <v>797</v>
      </c>
      <c r="G56" s="166"/>
      <c r="H56" s="167" t="s">
        <v>401</v>
      </c>
      <c r="I56" s="189" t="s">
        <v>767</v>
      </c>
      <c r="J56" s="163" t="s">
        <v>768</v>
      </c>
      <c r="K56" s="180">
        <f>K43*Q75</f>
        <v>111609037.17826502</v>
      </c>
      <c r="L56" s="188" t="s">
        <v>764</v>
      </c>
      <c r="M56" s="166"/>
      <c r="N56" s="157" t="s">
        <v>390</v>
      </c>
      <c r="O56" s="158" t="s">
        <v>489</v>
      </c>
      <c r="P56" s="158" t="s">
        <v>490</v>
      </c>
      <c r="Q56" s="183">
        <v>8</v>
      </c>
      <c r="R56" s="184" t="s">
        <v>454</v>
      </c>
      <c r="S56" s="166"/>
      <c r="T56" s="748" t="s">
        <v>531</v>
      </c>
      <c r="U56" s="749"/>
      <c r="V56" s="749"/>
      <c r="W56" s="749"/>
      <c r="X56" s="750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</row>
    <row r="57" spans="2:44" ht="81" hidden="1">
      <c r="B57" s="162" t="s">
        <v>803</v>
      </c>
      <c r="C57" s="163" t="s">
        <v>221</v>
      </c>
      <c r="D57" s="165">
        <v>1500</v>
      </c>
      <c r="E57" s="164">
        <f>B11</f>
        <v>1500</v>
      </c>
      <c r="F57" s="161" t="s">
        <v>454</v>
      </c>
      <c r="G57" s="166"/>
      <c r="H57" s="167" t="s">
        <v>402</v>
      </c>
      <c r="I57" s="189" t="s">
        <v>772</v>
      </c>
      <c r="J57" s="163" t="s">
        <v>773</v>
      </c>
      <c r="K57" s="180">
        <f>1250*E56*(100-E59)</f>
        <v>112500000</v>
      </c>
      <c r="L57" s="188" t="s">
        <v>764</v>
      </c>
      <c r="M57" s="166"/>
      <c r="N57" s="157" t="s">
        <v>391</v>
      </c>
      <c r="O57" s="158" t="s">
        <v>494</v>
      </c>
      <c r="P57" s="158" t="s">
        <v>490</v>
      </c>
      <c r="Q57" s="183">
        <v>8</v>
      </c>
      <c r="R57" s="184" t="s">
        <v>454</v>
      </c>
      <c r="S57" s="166"/>
      <c r="T57" s="152" t="s">
        <v>1177</v>
      </c>
      <c r="U57" s="153" t="s">
        <v>1178</v>
      </c>
      <c r="V57" s="153" t="s">
        <v>438</v>
      </c>
      <c r="W57" s="153" t="s">
        <v>447</v>
      </c>
      <c r="X57" s="154" t="s">
        <v>777</v>
      </c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</row>
    <row r="58" spans="2:44" ht="54" hidden="1">
      <c r="B58" s="162" t="str">
        <f>"流通道包间隔(不包括12B最小值的部分) 
范围:0-"&amp;K59</f>
        <v>流通道包间隔(不包括12B最小值的部分) 
范围:0-180000</v>
      </c>
      <c r="C58" s="163" t="s">
        <v>223</v>
      </c>
      <c r="D58" s="165">
        <v>0</v>
      </c>
      <c r="E58" s="164">
        <f>B12</f>
        <v>0</v>
      </c>
      <c r="F58" s="161" t="s">
        <v>454</v>
      </c>
      <c r="G58" s="166"/>
      <c r="H58" s="760" t="s">
        <v>600</v>
      </c>
      <c r="I58" s="761"/>
      <c r="J58" s="761"/>
      <c r="K58" s="761"/>
      <c r="L58" s="762"/>
      <c r="M58" s="166"/>
      <c r="N58" s="157" t="s">
        <v>392</v>
      </c>
      <c r="O58" s="158" t="s">
        <v>498</v>
      </c>
      <c r="P58" s="158" t="s">
        <v>499</v>
      </c>
      <c r="Q58" s="183">
        <v>4</v>
      </c>
      <c r="R58" s="184" t="s">
        <v>454</v>
      </c>
      <c r="S58" s="166"/>
      <c r="T58" s="207" t="s">
        <v>1179</v>
      </c>
      <c r="U58" s="163" t="s">
        <v>1100</v>
      </c>
      <c r="V58" s="208" t="s">
        <v>1180</v>
      </c>
      <c r="W58" s="158" t="s">
        <v>800</v>
      </c>
      <c r="X58" s="188" t="str">
        <f>DEC2HEX(K51)</f>
        <v>0</v>
      </c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</row>
    <row r="59" spans="2:44" ht="175.5" hidden="1">
      <c r="B59" s="162" t="str">
        <f>"预留带宽 
范围:0-"&amp;K61</f>
        <v>预留带宽 
范围:0-99</v>
      </c>
      <c r="C59" s="163" t="s">
        <v>233</v>
      </c>
      <c r="D59" s="165">
        <v>10</v>
      </c>
      <c r="E59" s="164">
        <f>B17</f>
        <v>10</v>
      </c>
      <c r="F59" s="161" t="s">
        <v>614</v>
      </c>
      <c r="G59" s="166"/>
      <c r="H59" s="167" t="s">
        <v>403</v>
      </c>
      <c r="I59" s="190" t="s">
        <v>780</v>
      </c>
      <c r="J59" s="163" t="s">
        <v>1181</v>
      </c>
      <c r="K59" s="180">
        <f>IF((ROUNDDOWN((Q78-(Q73+Q74+Q75))/(Q69+Q71+2),0)-12)&lt;IF(E56=100,18000,180000),ROUNDDOWN((Q78-(Q73+Q74+Q75))/(Q69+Q71+2),0)-12,IF(E56=100,18000,180000))</f>
        <v>180000</v>
      </c>
      <c r="L59" s="188" t="s">
        <v>454</v>
      </c>
      <c r="M59" s="166"/>
      <c r="N59" s="157" t="s">
        <v>331</v>
      </c>
      <c r="O59" s="158" t="s">
        <v>330</v>
      </c>
      <c r="P59" s="158" t="s">
        <v>504</v>
      </c>
      <c r="Q59" s="183">
        <v>12</v>
      </c>
      <c r="R59" s="184" t="s">
        <v>454</v>
      </c>
      <c r="S59" s="166"/>
      <c r="T59" s="209" t="s">
        <v>1182</v>
      </c>
      <c r="U59" s="163" t="s">
        <v>925</v>
      </c>
      <c r="V59" s="208" t="s">
        <v>1183</v>
      </c>
      <c r="W59" s="158" t="s">
        <v>805</v>
      </c>
      <c r="X59" s="210" t="str">
        <f>DEC2HEX(K50)</f>
        <v>9C3E</v>
      </c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</row>
    <row r="60" spans="2:44" ht="54" hidden="1">
      <c r="B60" s="760" t="s">
        <v>552</v>
      </c>
      <c r="C60" s="761"/>
      <c r="D60" s="761"/>
      <c r="E60" s="761"/>
      <c r="F60" s="762"/>
      <c r="G60" s="166"/>
      <c r="H60" s="760" t="s">
        <v>609</v>
      </c>
      <c r="I60" s="761"/>
      <c r="J60" s="761"/>
      <c r="K60" s="761"/>
      <c r="L60" s="762"/>
      <c r="M60" s="166"/>
      <c r="N60" s="157" t="s">
        <v>341</v>
      </c>
      <c r="O60" s="163" t="s">
        <v>511</v>
      </c>
      <c r="P60" s="158" t="s">
        <v>512</v>
      </c>
      <c r="Q60" s="183">
        <f>Q55+Q56+Q57</f>
        <v>36</v>
      </c>
      <c r="R60" s="184" t="s">
        <v>454</v>
      </c>
      <c r="S60" s="166"/>
      <c r="T60" s="209" t="s">
        <v>1184</v>
      </c>
      <c r="U60" s="163" t="s">
        <v>927</v>
      </c>
      <c r="V60" s="208" t="s">
        <v>1185</v>
      </c>
      <c r="W60" s="175" t="s">
        <v>1147</v>
      </c>
      <c r="X60" s="210" t="str">
        <f>DEC2HEX(MAX(K45,K46,K47,K48))</f>
        <v>CCE2</v>
      </c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</row>
    <row r="61" spans="2:44" ht="81" hidden="1">
      <c r="B61" s="157" t="s">
        <v>824</v>
      </c>
      <c r="C61" s="158" t="s">
        <v>558</v>
      </c>
      <c r="D61" s="158">
        <v>0</v>
      </c>
      <c r="E61" s="159">
        <f>B15</f>
        <v>0</v>
      </c>
      <c r="F61" s="160" t="s">
        <v>594</v>
      </c>
      <c r="G61" s="166"/>
      <c r="H61" s="168" t="s">
        <v>404</v>
      </c>
      <c r="I61" s="191" t="s">
        <v>609</v>
      </c>
      <c r="J61" s="192" t="s">
        <v>1208</v>
      </c>
      <c r="K61" s="193">
        <f>IF((100-ROUNDDOWN(10*Q77/(125000*E56),0)-1)&lt;0,0,(100-ROUNDDOWN(10*Q77/(125000*E56),0)-1))</f>
        <v>99</v>
      </c>
      <c r="L61" s="194" t="s">
        <v>614</v>
      </c>
      <c r="M61" s="166"/>
      <c r="N61" s="157" t="s">
        <v>343</v>
      </c>
      <c r="O61" s="163" t="s">
        <v>519</v>
      </c>
      <c r="P61" s="158" t="s">
        <v>520</v>
      </c>
      <c r="Q61" s="183">
        <f>Q52+Q53+Q54+Q58</f>
        <v>26</v>
      </c>
      <c r="R61" s="184" t="s">
        <v>454</v>
      </c>
      <c r="S61" s="166"/>
      <c r="T61" s="209" t="s">
        <v>1186</v>
      </c>
      <c r="U61" s="163" t="s">
        <v>1187</v>
      </c>
      <c r="V61" s="208" t="s">
        <v>1188</v>
      </c>
      <c r="W61" s="175" t="s">
        <v>1147</v>
      </c>
      <c r="X61" s="210" t="str">
        <f>DEC2HEX(MAX(K45,K46,K47))</f>
        <v>9CCA</v>
      </c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</row>
    <row r="62" spans="2:44" ht="54" hidden="1">
      <c r="B62" s="169" t="s">
        <v>552</v>
      </c>
      <c r="C62" s="170" t="s">
        <v>565</v>
      </c>
      <c r="D62" s="171">
        <f>VLOOKUP(D38,$T$39:$AR$49,25,FALSE)</f>
        <v>21</v>
      </c>
      <c r="E62" s="172">
        <f>B14</f>
        <v>21</v>
      </c>
      <c r="F62" s="173" t="s">
        <v>488</v>
      </c>
      <c r="G62" s="174"/>
      <c r="H62" s="174"/>
      <c r="I62" s="174"/>
      <c r="J62" s="174"/>
      <c r="K62" s="174"/>
      <c r="L62" s="174"/>
      <c r="M62" s="174"/>
      <c r="N62" s="157" t="s">
        <v>345</v>
      </c>
      <c r="O62" s="158" t="s">
        <v>344</v>
      </c>
      <c r="P62" s="158" t="s">
        <v>525</v>
      </c>
      <c r="Q62" s="183">
        <f>64-Q54-Q58-Q60</f>
        <v>10</v>
      </c>
      <c r="R62" s="184" t="s">
        <v>454</v>
      </c>
      <c r="S62" s="174"/>
      <c r="T62" s="209" t="s">
        <v>1189</v>
      </c>
      <c r="U62" s="163" t="s">
        <v>1190</v>
      </c>
      <c r="V62" s="208" t="s">
        <v>1191</v>
      </c>
      <c r="W62" s="158" t="s">
        <v>516</v>
      </c>
      <c r="X62" s="210" t="str">
        <f>DEC2HEX(K45)</f>
        <v>8192</v>
      </c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</row>
    <row r="63" spans="2:44" ht="40.5" hidden="1">
      <c r="B63" s="760" t="s">
        <v>1192</v>
      </c>
      <c r="C63" s="761"/>
      <c r="D63" s="761"/>
      <c r="E63" s="761"/>
      <c r="F63" s="762"/>
      <c r="G63" s="174"/>
      <c r="H63" s="166"/>
      <c r="I63" s="166"/>
      <c r="J63" s="166"/>
      <c r="K63" s="166"/>
      <c r="L63" s="166"/>
      <c r="M63" s="174"/>
      <c r="N63" s="760" t="s">
        <v>868</v>
      </c>
      <c r="O63" s="761"/>
      <c r="P63" s="761"/>
      <c r="Q63" s="761"/>
      <c r="R63" s="762"/>
      <c r="S63" s="174"/>
      <c r="T63" s="207" t="s">
        <v>1193</v>
      </c>
      <c r="U63" s="163" t="s">
        <v>1194</v>
      </c>
      <c r="V63" s="208" t="s">
        <v>1209</v>
      </c>
      <c r="W63" s="158" t="s">
        <v>1210</v>
      </c>
      <c r="X63" s="188" t="str">
        <f>DEC2HEX(ROUNDUP(6*K41/1000,0))</f>
        <v>5C</v>
      </c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4"/>
      <c r="AK63" s="174"/>
      <c r="AL63" s="174"/>
      <c r="AM63" s="174"/>
      <c r="AN63" s="174"/>
      <c r="AO63" s="174"/>
      <c r="AP63" s="174"/>
      <c r="AQ63" s="174"/>
      <c r="AR63" s="174"/>
    </row>
    <row r="64" spans="2:44" ht="27" hidden="1">
      <c r="B64" s="157" t="s">
        <v>852</v>
      </c>
      <c r="C64" s="175" t="s">
        <v>853</v>
      </c>
      <c r="D64" s="158">
        <v>1</v>
      </c>
      <c r="E64" s="159">
        <f>B6</f>
        <v>1</v>
      </c>
      <c r="F64" s="160" t="s">
        <v>594</v>
      </c>
      <c r="G64" s="166"/>
      <c r="H64" s="166"/>
      <c r="I64" s="166"/>
      <c r="J64" s="166"/>
      <c r="K64" s="166"/>
      <c r="L64" s="166"/>
      <c r="M64" s="166"/>
      <c r="N64" s="152" t="s">
        <v>444</v>
      </c>
      <c r="O64" s="153" t="s">
        <v>438</v>
      </c>
      <c r="P64" s="153" t="s">
        <v>447</v>
      </c>
      <c r="Q64" s="153" t="s">
        <v>688</v>
      </c>
      <c r="R64" s="197" t="s">
        <v>449</v>
      </c>
      <c r="S64" s="166"/>
      <c r="T64" s="211" t="s">
        <v>829</v>
      </c>
      <c r="U64" s="163" t="s">
        <v>1103</v>
      </c>
      <c r="V64" s="163" t="s">
        <v>831</v>
      </c>
      <c r="W64" s="163" t="s">
        <v>594</v>
      </c>
      <c r="X64" s="210" t="s">
        <v>832</v>
      </c>
      <c r="Y64" s="174"/>
      <c r="Z64" s="174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</row>
    <row r="65" spans="2:44" ht="67.5" hidden="1">
      <c r="B65" s="220" t="s">
        <v>858</v>
      </c>
      <c r="C65" s="221" t="s">
        <v>859</v>
      </c>
      <c r="D65" s="222">
        <v>1</v>
      </c>
      <c r="E65" s="159">
        <f>B7</f>
        <v>1</v>
      </c>
      <c r="F65" s="223" t="s">
        <v>594</v>
      </c>
      <c r="G65" s="166"/>
      <c r="H65" s="166"/>
      <c r="I65" s="166"/>
      <c r="J65" s="166"/>
      <c r="K65" s="166"/>
      <c r="L65" s="166"/>
      <c r="M65" s="166"/>
      <c r="N65" s="157" t="s">
        <v>393</v>
      </c>
      <c r="O65" s="163" t="s">
        <v>1124</v>
      </c>
      <c r="P65" s="158" t="s">
        <v>543</v>
      </c>
      <c r="Q65" s="183">
        <f>36</f>
        <v>36</v>
      </c>
      <c r="R65" s="184" t="s">
        <v>454</v>
      </c>
      <c r="S65" s="166"/>
      <c r="T65" s="227" t="s">
        <v>864</v>
      </c>
      <c r="U65" s="228" t="s">
        <v>1197</v>
      </c>
      <c r="V65" s="228" t="s">
        <v>865</v>
      </c>
      <c r="W65" s="222" t="s">
        <v>1198</v>
      </c>
      <c r="X65" s="194" t="str">
        <f>DEC2HEX(ROUNDUP(K41*Q41/1000,0)-E51/VLOOKUP(D38,$T$39:$AR$49,5,FALSE)/VLOOKUP(D38,$T$39:$AR$49,6,FALSE))</f>
        <v>6E</v>
      </c>
      <c r="Y65" s="174"/>
      <c r="Z65" s="174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</row>
    <row r="66" spans="2:44" ht="40.5" hidden="1">
      <c r="B66" s="867" t="s">
        <v>272</v>
      </c>
      <c r="C66" s="868"/>
      <c r="D66" s="868"/>
      <c r="E66" s="868"/>
      <c r="F66" s="869"/>
      <c r="G66" s="166"/>
      <c r="H66" s="166"/>
      <c r="I66" s="166"/>
      <c r="J66" s="166"/>
      <c r="K66" s="166"/>
      <c r="L66" s="166"/>
      <c r="M66" s="166"/>
      <c r="N66" s="157" t="s">
        <v>394</v>
      </c>
      <c r="O66" s="163" t="s">
        <v>877</v>
      </c>
      <c r="P66" s="158" t="s">
        <v>548</v>
      </c>
      <c r="Q66" s="183">
        <v>10</v>
      </c>
      <c r="R66" s="184" t="s">
        <v>454</v>
      </c>
      <c r="S66" s="166"/>
      <c r="T66" s="174"/>
      <c r="U66" s="174"/>
      <c r="V66" s="174"/>
      <c r="W66" s="174"/>
      <c r="X66" s="174"/>
      <c r="Y66" s="174"/>
      <c r="Z66" s="174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</row>
    <row r="67" spans="2:44" ht="27" hidden="1">
      <c r="B67" s="224" t="s">
        <v>252</v>
      </c>
      <c r="C67" s="870" t="s">
        <v>407</v>
      </c>
      <c r="D67" s="871"/>
      <c r="E67" s="872">
        <f>K43</f>
        <v>19.065776930409914</v>
      </c>
      <c r="F67" s="873"/>
      <c r="G67" s="166"/>
      <c r="H67" s="166"/>
      <c r="I67" s="166"/>
      <c r="J67" s="166"/>
      <c r="K67" s="166"/>
      <c r="L67" s="166"/>
      <c r="M67" s="166"/>
      <c r="N67" s="162" t="s">
        <v>337</v>
      </c>
      <c r="O67" s="163" t="s">
        <v>884</v>
      </c>
      <c r="P67" s="163" t="s">
        <v>885</v>
      </c>
      <c r="Q67" s="187">
        <f>E51*E52*IF(E42=8,1,2)</f>
        <v>5616000</v>
      </c>
      <c r="R67" s="184" t="s">
        <v>454</v>
      </c>
      <c r="S67" s="166"/>
      <c r="T67" s="174"/>
      <c r="U67" s="174"/>
      <c r="V67" s="174"/>
      <c r="W67" s="174"/>
      <c r="X67" s="174"/>
      <c r="Y67" s="166"/>
      <c r="Z67" s="166"/>
      <c r="AA67" s="174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</row>
    <row r="68" spans="2:44" ht="27" hidden="1">
      <c r="B68" s="174"/>
      <c r="C68" s="174"/>
      <c r="D68" s="174"/>
      <c r="E68" s="174"/>
      <c r="F68" s="174"/>
      <c r="G68" s="166"/>
      <c r="H68" s="174"/>
      <c r="I68" s="174"/>
      <c r="J68" s="174"/>
      <c r="K68" s="174"/>
      <c r="L68" s="174"/>
      <c r="M68" s="166"/>
      <c r="N68" s="157" t="s">
        <v>339</v>
      </c>
      <c r="O68" s="163" t="s">
        <v>886</v>
      </c>
      <c r="P68" s="163" t="s">
        <v>887</v>
      </c>
      <c r="Q68" s="229">
        <f>Q67+32*E54</f>
        <v>5616000</v>
      </c>
      <c r="R68" s="184" t="s">
        <v>454</v>
      </c>
      <c r="S68" s="166"/>
      <c r="T68" s="166"/>
      <c r="U68" s="166"/>
      <c r="V68" s="166"/>
      <c r="W68" s="166"/>
      <c r="X68" s="166"/>
      <c r="Y68" s="166"/>
      <c r="Z68" s="166"/>
      <c r="AA68" s="174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</row>
    <row r="69" spans="2:44" ht="40.5" hidden="1"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57" t="s">
        <v>347</v>
      </c>
      <c r="O69" s="163" t="s">
        <v>346</v>
      </c>
      <c r="P69" s="158" t="s">
        <v>570</v>
      </c>
      <c r="Q69" s="230">
        <f>INT(Q68/(E57-Q60))</f>
        <v>3836</v>
      </c>
      <c r="R69" s="184"/>
      <c r="S69" s="174"/>
      <c r="T69" s="166"/>
      <c r="U69" s="166"/>
      <c r="V69" s="166"/>
      <c r="W69" s="166"/>
      <c r="X69" s="166"/>
      <c r="Y69" s="166"/>
      <c r="Z69" s="166"/>
      <c r="AA69" s="174"/>
      <c r="AB69" s="174"/>
      <c r="AC69" s="174"/>
      <c r="AD69" s="174"/>
      <c r="AE69" s="174"/>
      <c r="AF69" s="174"/>
      <c r="AG69" s="174"/>
      <c r="AH69" s="174"/>
      <c r="AI69" s="174"/>
      <c r="AJ69" s="174"/>
      <c r="AK69" s="174"/>
      <c r="AL69" s="174"/>
      <c r="AM69" s="174"/>
      <c r="AN69" s="174"/>
      <c r="AO69" s="174"/>
      <c r="AP69" s="174"/>
      <c r="AQ69" s="174"/>
      <c r="AR69" s="174"/>
    </row>
    <row r="70" spans="2:44" ht="54" hidden="1"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57" t="s">
        <v>349</v>
      </c>
      <c r="O70" s="163" t="s">
        <v>888</v>
      </c>
      <c r="P70" s="158" t="s">
        <v>577</v>
      </c>
      <c r="Q70" s="230">
        <f>Q68-(E57-Q60)*Q69</f>
        <v>96</v>
      </c>
      <c r="R70" s="184" t="s">
        <v>454</v>
      </c>
      <c r="S70" s="174"/>
      <c r="T70" s="166"/>
      <c r="U70" s="166"/>
      <c r="V70" s="166"/>
      <c r="W70" s="166"/>
      <c r="X70" s="166"/>
      <c r="Y70" s="166"/>
      <c r="Z70" s="166"/>
      <c r="AA70" s="166"/>
      <c r="AB70" s="174"/>
      <c r="AC70" s="174"/>
      <c r="AD70" s="174"/>
      <c r="AE70" s="174"/>
      <c r="AF70" s="174"/>
      <c r="AG70" s="174"/>
      <c r="AH70" s="174"/>
      <c r="AI70" s="174"/>
      <c r="AJ70" s="174"/>
      <c r="AK70" s="174"/>
      <c r="AL70" s="174"/>
      <c r="AM70" s="174"/>
      <c r="AN70" s="174"/>
      <c r="AO70" s="174"/>
      <c r="AP70" s="174"/>
      <c r="AQ70" s="174"/>
      <c r="AR70" s="174"/>
    </row>
    <row r="71" spans="2:44" ht="27" hidden="1">
      <c r="B71" s="166"/>
      <c r="C71" s="166"/>
      <c r="D71" s="166"/>
      <c r="E71" s="166"/>
      <c r="F71" s="166"/>
      <c r="G71" s="174"/>
      <c r="H71" s="166"/>
      <c r="I71" s="166"/>
      <c r="J71" s="166"/>
      <c r="K71" s="166"/>
      <c r="L71" s="166"/>
      <c r="M71" s="174"/>
      <c r="N71" s="156" t="s">
        <v>348</v>
      </c>
      <c r="O71" s="179" t="s">
        <v>245</v>
      </c>
      <c r="P71" s="175" t="s">
        <v>1199</v>
      </c>
      <c r="Q71" s="183">
        <f>IF(MOD(Q67,(E57-Q60))=0,0,1)</f>
        <v>1</v>
      </c>
      <c r="R71" s="184"/>
      <c r="S71" s="174"/>
      <c r="T71" s="166"/>
      <c r="U71" s="166"/>
      <c r="V71" s="166"/>
      <c r="W71" s="166"/>
      <c r="X71" s="166"/>
      <c r="Y71" s="166"/>
      <c r="Z71" s="166"/>
      <c r="AA71" s="166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74"/>
      <c r="AP71" s="174"/>
      <c r="AQ71" s="174"/>
      <c r="AR71" s="174"/>
    </row>
    <row r="72" spans="2:44" ht="54" hidden="1"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57" t="s">
        <v>351</v>
      </c>
      <c r="O72" s="163" t="s">
        <v>889</v>
      </c>
      <c r="P72" s="175" t="s">
        <v>584</v>
      </c>
      <c r="Q72" s="230">
        <f>IF(Q70&lt;Q62,Q62,Q70)</f>
        <v>96</v>
      </c>
      <c r="R72" s="184" t="s">
        <v>454</v>
      </c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</row>
    <row r="73" spans="2:44" ht="27" hidden="1"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56" t="s">
        <v>353</v>
      </c>
      <c r="O73" s="179" t="s">
        <v>890</v>
      </c>
      <c r="P73" s="175" t="s">
        <v>586</v>
      </c>
      <c r="Q73" s="230">
        <f>Q61+Q60+Q65</f>
        <v>98</v>
      </c>
      <c r="R73" s="184" t="s">
        <v>454</v>
      </c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</row>
    <row r="74" spans="2:44" ht="27" hidden="1"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56" t="s">
        <v>355</v>
      </c>
      <c r="O74" s="179" t="s">
        <v>891</v>
      </c>
      <c r="P74" s="175" t="s">
        <v>892</v>
      </c>
      <c r="Q74" s="230">
        <f>Q61+Q60+Q66</f>
        <v>72</v>
      </c>
      <c r="R74" s="184" t="s">
        <v>454</v>
      </c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</row>
    <row r="75" spans="2:44" ht="81" hidden="1">
      <c r="B75" s="166"/>
      <c r="C75" s="166"/>
      <c r="D75" s="166"/>
      <c r="E75" s="166"/>
      <c r="F75" s="166"/>
      <c r="G75" s="166"/>
      <c r="H75" s="166"/>
      <c r="I75" s="166"/>
      <c r="J75" s="151"/>
      <c r="K75" s="166"/>
      <c r="L75" s="166"/>
      <c r="M75" s="166"/>
      <c r="N75" s="156" t="s">
        <v>357</v>
      </c>
      <c r="O75" s="179" t="s">
        <v>246</v>
      </c>
      <c r="P75" s="175" t="s">
        <v>893</v>
      </c>
      <c r="Q75" s="230">
        <f>Q69*(E57+Q61)+Q71*(Q72+Q61+Q60)</f>
        <v>5853894</v>
      </c>
      <c r="R75" s="184" t="s">
        <v>454</v>
      </c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</row>
    <row r="76" spans="2:44" ht="54" hidden="1"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225" t="s">
        <v>358</v>
      </c>
      <c r="O76" s="179" t="s">
        <v>894</v>
      </c>
      <c r="P76" s="179" t="s">
        <v>895</v>
      </c>
      <c r="Q76" s="231">
        <f>(2+Q71+Q69)*(Q59+E58)</f>
        <v>46068</v>
      </c>
      <c r="R76" s="188" t="s">
        <v>454</v>
      </c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</row>
    <row r="77" spans="2:44" ht="40.5" hidden="1"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2" t="s">
        <v>359</v>
      </c>
      <c r="O77" s="163" t="s">
        <v>896</v>
      </c>
      <c r="P77" s="163" t="s">
        <v>607</v>
      </c>
      <c r="Q77" s="187">
        <f>Q73+Q74+Q75+Q76</f>
        <v>5900132</v>
      </c>
      <c r="R77" s="188" t="s">
        <v>454</v>
      </c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</row>
    <row r="78" spans="2:44" ht="27" hidden="1"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225" t="s">
        <v>361</v>
      </c>
      <c r="O78" s="179" t="s">
        <v>360</v>
      </c>
      <c r="P78" s="179" t="s">
        <v>897</v>
      </c>
      <c r="Q78" s="180">
        <f>INT(1000000*E56*(100-E59)/80)</f>
        <v>1125000000</v>
      </c>
      <c r="R78" s="232" t="s">
        <v>898</v>
      </c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</row>
    <row r="79" spans="2:44" ht="40.5" hidden="1"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226" t="s">
        <v>363</v>
      </c>
      <c r="O79" s="192" t="s">
        <v>362</v>
      </c>
      <c r="P79" s="192" t="s">
        <v>1200</v>
      </c>
      <c r="Q79" s="193">
        <f>ROUNDUP(Q77*1000000/Q78,0)*10</f>
        <v>52450</v>
      </c>
      <c r="R79" s="233" t="s">
        <v>478</v>
      </c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</row>
    <row r="80" spans="2:44" hidden="1">
      <c r="H80" s="166"/>
      <c r="I80" s="166"/>
      <c r="J80" s="166"/>
      <c r="K80" s="166"/>
      <c r="L80" s="166"/>
    </row>
    <row r="81" spans="8:18">
      <c r="H81" s="166"/>
      <c r="I81" s="166"/>
      <c r="J81" s="166"/>
      <c r="K81" s="166"/>
      <c r="L81" s="166"/>
      <c r="N81" s="148"/>
      <c r="O81" s="148"/>
      <c r="P81" s="148"/>
      <c r="Q81" s="148"/>
      <c r="R81" s="148"/>
    </row>
    <row r="82" spans="8:18">
      <c r="N82" s="148"/>
      <c r="O82" s="148"/>
      <c r="P82" s="148"/>
      <c r="Q82" s="148"/>
      <c r="R82" s="148"/>
    </row>
    <row r="83" spans="8:18">
      <c r="N83" s="148"/>
      <c r="O83" s="148"/>
      <c r="P83" s="148"/>
      <c r="Q83" s="148"/>
      <c r="R83" s="148"/>
    </row>
    <row r="84" spans="8:18">
      <c r="N84" s="148"/>
      <c r="O84" s="148"/>
      <c r="P84" s="148"/>
      <c r="Q84" s="148"/>
      <c r="R84" s="148"/>
    </row>
    <row r="85" spans="8:18">
      <c r="N85" s="148"/>
      <c r="O85" s="148"/>
      <c r="P85" s="148"/>
      <c r="Q85" s="148"/>
      <c r="R85" s="148"/>
    </row>
    <row r="86" spans="8:18">
      <c r="N86" s="148"/>
      <c r="O86" s="148"/>
      <c r="P86" s="148"/>
      <c r="Q86" s="148"/>
      <c r="R86" s="148"/>
    </row>
    <row r="87" spans="8:18">
      <c r="N87" s="148"/>
      <c r="O87" s="148"/>
      <c r="P87" s="148"/>
      <c r="Q87" s="148"/>
      <c r="R87" s="148"/>
    </row>
    <row r="88" spans="8:18">
      <c r="N88" s="148"/>
      <c r="O88" s="148"/>
      <c r="P88" s="148"/>
      <c r="Q88" s="148"/>
      <c r="R88" s="148"/>
    </row>
    <row r="89" spans="8:18">
      <c r="N89" s="148"/>
      <c r="O89" s="148"/>
      <c r="P89" s="148"/>
      <c r="Q89" s="148"/>
      <c r="R89" s="148"/>
    </row>
    <row r="90" spans="8:18">
      <c r="N90" s="148"/>
      <c r="O90" s="148"/>
      <c r="P90" s="148"/>
      <c r="Q90" s="148"/>
      <c r="R90" s="148"/>
    </row>
    <row r="91" spans="8:18">
      <c r="N91" s="148"/>
      <c r="O91" s="148"/>
      <c r="P91" s="148"/>
      <c r="Q91" s="148"/>
      <c r="R91" s="148"/>
    </row>
    <row r="92" spans="8:18">
      <c r="N92" s="148"/>
      <c r="O92" s="148"/>
      <c r="P92" s="148"/>
      <c r="Q92" s="148"/>
      <c r="R92" s="148"/>
    </row>
  </sheetData>
  <sheetProtection algorithmName="SHA-512" hashValue="kP9xnqkqvxlpV/rzyMttNKR3AQ5l8ZeRO/nL9Hua6WjymORTSA7PRHGToyLvMsqO0geb1oat1dqaNmnQbBo9Ig==" saltValue="CGwvohxhIGi/K9O3bZOdRA==" spinCount="100000" sheet="1" objects="1" selectLockedCells="1"/>
  <mergeCells count="25">
    <mergeCell ref="H38:L38"/>
    <mergeCell ref="N38:R38"/>
    <mergeCell ref="T38:AR38"/>
    <mergeCell ref="B39:F39"/>
    <mergeCell ref="H39:L39"/>
    <mergeCell ref="N39:R39"/>
    <mergeCell ref="B41:F41"/>
    <mergeCell ref="B43:F43"/>
    <mergeCell ref="H44:L44"/>
    <mergeCell ref="B46:F46"/>
    <mergeCell ref="B48:F48"/>
    <mergeCell ref="H49:L49"/>
    <mergeCell ref="N50:R50"/>
    <mergeCell ref="B53:F53"/>
    <mergeCell ref="H54:L54"/>
    <mergeCell ref="B55:F55"/>
    <mergeCell ref="B66:F66"/>
    <mergeCell ref="C67:D67"/>
    <mergeCell ref="E67:F67"/>
    <mergeCell ref="T56:X56"/>
    <mergeCell ref="H58:L58"/>
    <mergeCell ref="B60:F60"/>
    <mergeCell ref="H60:L60"/>
    <mergeCell ref="B63:F63"/>
    <mergeCell ref="N63:R63"/>
  </mergeCells>
  <phoneticPr fontId="37" type="noConversion"/>
  <dataValidations count="31">
    <dataValidation type="custom" allowBlank="1" showInputMessage="1" showErrorMessage="1" errorTitle="Input parameter error" error="Input range is 1 or 2." sqref="B6:B7">
      <formula1>OR((B6=1),(B6=2))</formula1>
    </dataValidation>
    <dataValidation allowBlank="1" showErrorMessage="1" promptTitle="参数变化" prompt="该参数会根据当前生效的水平像素Binning、水平像素抽样变化" sqref="B2"/>
    <dataValidation allowBlank="1" showInputMessage="1" showErrorMessage="1" error="输入范围是64~1024，步长为2" sqref="A1:B1"/>
    <dataValidation allowBlank="1" showErrorMessage="1" promptTitle="参数变化" prompt="该参数会根据当前生效的垂直像素Binning、垂直像素抽样变化" sqref="B3"/>
    <dataValidation type="custom" allowBlank="1" showInputMessage="1" showErrorMessage="1" errorTitle="Input parameter error" error="Input 8 or 12." sqref="B10">
      <formula1>OR((B10=8),(B10=12))</formula1>
    </dataValidation>
    <dataValidation type="whole" allowBlank="1" showInputMessage="1" showErrorMessage="1" error="The input range: [0,5000]" sqref="B9">
      <formula1>0</formula1>
      <formula2>5000</formula2>
    </dataValidation>
    <dataValidation type="custom" allowBlank="1" showInputMessage="1" showErrorMessage="1" errorTitle="Input parameter error" error="Input range from 4 to WidthMax, and is an integer multiple of 4." sqref="B4">
      <formula1>AND((B4&lt;=B2),(B4&gt;=4),(MOD(B4,4)=0))</formula1>
    </dataValidation>
    <dataValidation type="custom" allowBlank="1" showInputMessage="1" showErrorMessage="1" errorTitle="Input parameter error" error="Input range from 2 to HeightMax, and is an integer multiple of 2." sqref="B5">
      <formula1>AND((B5&lt;=B3),(B5&gt;=2),(MOD(B5,2)=0))</formula1>
    </dataValidation>
    <dataValidation type="whole" allowBlank="1" showInputMessage="1" showErrorMessage="1" errorTitle="Input parameter error" error="Input range is 0 to GevSCPDMaxValue." sqref="B12">
      <formula1>0</formula1>
      <formula2>B13</formula2>
    </dataValidation>
    <dataValidation type="whole" allowBlank="1" showInputMessage="1" showErrorMessage="1" errorTitle="Input parameter error" error="Input range from 14 to 1000000." sqref="B8">
      <formula1>14</formula1>
      <formula2>1000000</formula2>
    </dataValidation>
    <dataValidation type="custom" allowBlank="1" showInputMessage="1" showErrorMessage="1" errorTitle="Input parameter error" error="Input range is 512~8192, step is 4." sqref="B11">
      <formula1>AND((B11&lt;=8192),(B11&gt;=512),(MOD(B11,4)=0))</formula1>
    </dataValidation>
    <dataValidation type="list" allowBlank="1" showInputMessage="1" showErrorMessage="1" sqref="E54">
      <formula1>"0,1"</formula1>
    </dataValidation>
    <dataValidation type="custom" allowBlank="1" showInputMessage="1" showErrorMessage="1" errorTitle="Input parameter error" error="Input range from 0.1 to 10000, step 0.1." sqref="B14">
      <formula1>AND(TRUNC(B14,1)=B14,(B14&gt;=0.1),(B14&lt;=10000))</formula1>
    </dataValidation>
    <dataValidation type="list" allowBlank="1" showInputMessage="1" showErrorMessage="1" errorTitle="Input parameter error" error="Please input 0 or 1." sqref="B15">
      <formula1>"0,1"</formula1>
    </dataValidation>
    <dataValidation type="whole" allowBlank="1" showInputMessage="1" showErrorMessage="1" errorTitle="输入数值非法" error="最小值2，最大值D13" sqref="E52">
      <formula1>2</formula1>
      <formula2>D52</formula2>
    </dataValidation>
    <dataValidation type="custom" allowBlank="1" showInputMessage="1" showErrorMessage="1" errorTitle="Input parameter error" error="Please input 1000 or 100." sqref="B16">
      <formula1>OR((B16=1000),(B16=100))</formula1>
    </dataValidation>
    <dataValidation type="whole" allowBlank="1" showInputMessage="1" showErrorMessage="1" errorTitle="Input parameter error" error="Input range is 0 to BandwidthReserveMaxValue, and is an integer multiple of 1." sqref="B17">
      <formula1>0</formula1>
      <formula2>B18</formula2>
    </dataValidation>
    <dataValidation type="list" allowBlank="1" showInputMessage="1" showErrorMessage="1" sqref="D38">
      <formula1>$S$8:$S$16</formula1>
    </dataValidation>
    <dataValidation type="list" allowBlank="1" showInputMessage="1" showErrorMessage="1" sqref="E42">
      <formula1>"8,12"</formula1>
    </dataValidation>
    <dataValidation type="whole" allowBlank="1" showInputMessage="1" showErrorMessage="1" errorTitle="超出范围" error="曝光时间的范围是14us-1s" sqref="E44">
      <formula1>14</formula1>
      <formula2>1000000</formula2>
    </dataValidation>
    <dataValidation type="whole" allowBlank="1" showInputMessage="1" showErrorMessage="1" errorTitle="超出范围" error="曝光延迟的范围是0-5000us" sqref="E45">
      <formula1>0</formula1>
      <formula2>5000</formula2>
    </dataValidation>
    <dataValidation type="whole" allowBlank="1" showInputMessage="1" showErrorMessage="1" errorTitle="超出范围" error="触发延时的范围是0-3000000us" sqref="E47">
      <formula1>0</formula1>
      <formula2>3000000</formula2>
    </dataValidation>
    <dataValidation type="whole" allowBlank="1" showInputMessage="1" showErrorMessage="1" errorTitle="输入数值非法" error="最小值4，最大值D12" sqref="E51">
      <formula1>4</formula1>
      <formula2>D51</formula2>
    </dataValidation>
    <dataValidation type="list" allowBlank="1" showInputMessage="1" showErrorMessage="1" sqref="E56">
      <formula1>"1000,100"</formula1>
    </dataValidation>
    <dataValidation type="custom" allowBlank="1" showInputMessage="1" showErrorMessage="1" sqref="E57">
      <formula1>AND(MOD(E57,4)=0,E57&gt;=512,E57&lt;=16384)</formula1>
    </dataValidation>
    <dataValidation type="whole" allowBlank="1" showInputMessage="1" showErrorMessage="1" errorTitle="设置值超出范围" error="包间隔设置值超出范围" sqref="E58">
      <formula1>0</formula1>
      <formula2>K59</formula2>
    </dataValidation>
    <dataValidation type="whole" allowBlank="1" showInputMessage="1" showErrorMessage="1" errorTitle="设置值超出范围" error="预留带宽设置值超出范围" sqref="E59">
      <formula1>0</formula1>
      <formula2>K61</formula2>
    </dataValidation>
    <dataValidation type="list" allowBlank="1" showInputMessage="1" showErrorMessage="1" errorTitle="超出范围" error="0:关闭_x000a_1:打开" sqref="E61">
      <formula1>"0,1"</formula1>
    </dataValidation>
    <dataValidation type="decimal" allowBlank="1" showInputMessage="1" showErrorMessage="1" sqref="E62">
      <formula1>0.1</formula1>
      <formula2>10000</formula2>
    </dataValidation>
    <dataValidation type="whole" errorStyle="information" operator="lessThanOrEqual" allowBlank="1" showErrorMessage="1" error="设置水平Binning/Skipping时，需要同步修改水平ROI" sqref="E64">
      <formula1>1</formula1>
    </dataValidation>
    <dataValidation type="whole" errorStyle="information" operator="lessThanOrEqual" allowBlank="1" showErrorMessage="1" error="设置垂直Binning/Skipping时，需要同步修改垂直ROI" sqref="E65">
      <formula1>1</formula1>
    </dataValidation>
  </dataValidation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2"/>
  <sheetViews>
    <sheetView workbookViewId="0">
      <selection activeCell="B17" sqref="B17"/>
    </sheetView>
  </sheetViews>
  <sheetFormatPr defaultColWidth="9" defaultRowHeight="13.5"/>
  <cols>
    <col min="1" max="1" width="29" style="137" customWidth="1"/>
    <col min="2" max="2" width="19" style="137" customWidth="1"/>
    <col min="3" max="3" width="23.125" style="137" customWidth="1"/>
    <col min="4" max="4" width="19" style="137" customWidth="1"/>
    <col min="5" max="6" width="10" style="137" customWidth="1"/>
    <col min="7" max="7" width="6.125" style="137" customWidth="1"/>
    <col min="8" max="8" width="15.125" style="137" customWidth="1"/>
    <col min="9" max="9" width="24.5" style="137" customWidth="1"/>
    <col min="10" max="10" width="28.625" style="137" customWidth="1"/>
    <col min="11" max="11" width="16.125" style="137" customWidth="1"/>
    <col min="12" max="12" width="7.5" style="137" customWidth="1"/>
    <col min="13" max="13" width="4.5" style="137" customWidth="1"/>
    <col min="14" max="14" width="19.625" style="137" customWidth="1"/>
    <col min="15" max="15" width="27.25" style="137" customWidth="1"/>
    <col min="16" max="16" width="29" style="137" customWidth="1"/>
    <col min="17" max="17" width="12.75" style="137" customWidth="1"/>
    <col min="18" max="18" width="9.625" style="137" customWidth="1"/>
    <col min="19" max="19" width="4.875" style="137" customWidth="1"/>
    <col min="20" max="20" width="17" style="137" customWidth="1"/>
    <col min="21" max="22" width="15.625" style="137" customWidth="1"/>
    <col min="23" max="23" width="15.75" style="137" customWidth="1"/>
    <col min="24" max="24" width="16.375" style="137" customWidth="1"/>
    <col min="25" max="25" width="18.875" style="137" customWidth="1"/>
    <col min="26" max="26" width="14.875" style="137" customWidth="1"/>
    <col min="27" max="27" width="15.25" style="137" customWidth="1"/>
    <col min="28" max="28" width="20.5" style="137" customWidth="1"/>
    <col min="29" max="29" width="22" style="137" customWidth="1"/>
    <col min="30" max="30" width="21.625" style="137" customWidth="1"/>
    <col min="31" max="31" width="20.625" style="137" customWidth="1"/>
    <col min="32" max="32" width="10" style="137" customWidth="1"/>
    <col min="33" max="33" width="9.75" style="137" customWidth="1"/>
    <col min="34" max="34" width="13.25" style="137" customWidth="1"/>
    <col min="35" max="35" width="13.875" style="137" customWidth="1"/>
    <col min="36" max="36" width="12.5" style="137" customWidth="1"/>
    <col min="37" max="37" width="23.875" style="137" customWidth="1"/>
    <col min="38" max="38" width="22.125" style="137" customWidth="1"/>
    <col min="39" max="39" width="17.5" style="137" customWidth="1"/>
    <col min="40" max="16384" width="9" style="137"/>
  </cols>
  <sheetData>
    <row r="1" spans="1:3">
      <c r="A1" s="138"/>
      <c r="B1" s="138"/>
    </row>
    <row r="2" spans="1:3">
      <c r="A2" s="104" t="s">
        <v>199</v>
      </c>
      <c r="B2" s="139">
        <f>D51/B6</f>
        <v>4200</v>
      </c>
    </row>
    <row r="3" spans="1:3">
      <c r="A3" s="104" t="s">
        <v>201</v>
      </c>
      <c r="B3" s="139">
        <f>D52/B7</f>
        <v>2160</v>
      </c>
    </row>
    <row r="4" spans="1:3">
      <c r="A4" s="138" t="s">
        <v>203</v>
      </c>
      <c r="B4" s="140">
        <v>4200</v>
      </c>
      <c r="C4" s="141" t="str">
        <f>IF(OR(B4&gt;B2,B4&lt;4),H24,"")</f>
        <v/>
      </c>
    </row>
    <row r="5" spans="1:3">
      <c r="A5" s="138" t="s">
        <v>205</v>
      </c>
      <c r="B5" s="140">
        <v>2160</v>
      </c>
      <c r="C5" s="141" t="str">
        <f>IF(OR(B5&gt;B3,B5&lt;2),H25,"")</f>
        <v/>
      </c>
    </row>
    <row r="6" spans="1:3">
      <c r="A6" s="104" t="s">
        <v>211</v>
      </c>
      <c r="B6" s="142">
        <v>1</v>
      </c>
    </row>
    <row r="7" spans="1:3">
      <c r="A7" s="104" t="s">
        <v>213</v>
      </c>
      <c r="B7" s="142">
        <v>1</v>
      </c>
    </row>
    <row r="8" spans="1:3">
      <c r="A8" s="138" t="s">
        <v>215</v>
      </c>
      <c r="B8" s="140">
        <v>60000</v>
      </c>
    </row>
    <row r="9" spans="1:3">
      <c r="A9" s="138" t="s">
        <v>217</v>
      </c>
      <c r="B9" s="143">
        <v>0</v>
      </c>
    </row>
    <row r="10" spans="1:3">
      <c r="A10" s="138" t="s">
        <v>219</v>
      </c>
      <c r="B10" s="140">
        <v>8</v>
      </c>
    </row>
    <row r="11" spans="1:3">
      <c r="A11" s="138" t="s">
        <v>221</v>
      </c>
      <c r="B11" s="140">
        <v>1500</v>
      </c>
    </row>
    <row r="12" spans="1:3">
      <c r="A12" s="138" t="s">
        <v>223</v>
      </c>
      <c r="B12" s="140">
        <v>0</v>
      </c>
    </row>
    <row r="13" spans="1:3">
      <c r="A13" s="138" t="s">
        <v>225</v>
      </c>
      <c r="B13" s="144">
        <f>K59</f>
        <v>179943</v>
      </c>
    </row>
    <row r="14" spans="1:3">
      <c r="A14" s="138" t="s">
        <v>227</v>
      </c>
      <c r="B14" s="140">
        <v>13</v>
      </c>
    </row>
    <row r="15" spans="1:3">
      <c r="A15" s="138" t="s">
        <v>229</v>
      </c>
      <c r="B15" s="140">
        <v>0</v>
      </c>
    </row>
    <row r="16" spans="1:3">
      <c r="A16" s="138" t="s">
        <v>231</v>
      </c>
      <c r="B16" s="140">
        <v>1000</v>
      </c>
    </row>
    <row r="17" spans="1:8">
      <c r="A17" s="138" t="s">
        <v>233</v>
      </c>
      <c r="B17" s="140">
        <v>10</v>
      </c>
    </row>
    <row r="18" spans="1:8">
      <c r="A18" s="138" t="s">
        <v>235</v>
      </c>
      <c r="B18" s="144">
        <f>K61</f>
        <v>99</v>
      </c>
    </row>
    <row r="19" spans="1:8" hidden="1">
      <c r="A19" s="138"/>
      <c r="B19" s="144"/>
    </row>
    <row r="20" spans="1:8" ht="14.25">
      <c r="A20" s="145"/>
      <c r="B20" s="146"/>
    </row>
    <row r="21" spans="1:8" ht="14.25">
      <c r="A21" s="145" t="s">
        <v>273</v>
      </c>
      <c r="B21" s="147">
        <f>K43</f>
        <v>11.803588290840416</v>
      </c>
      <c r="C21" s="141" t="str">
        <f>IF(H30,H26,"")</f>
        <v/>
      </c>
    </row>
    <row r="23" spans="1:8" ht="27" hidden="1">
      <c r="H23" s="119" t="s">
        <v>274</v>
      </c>
    </row>
    <row r="24" spans="1:8" hidden="1">
      <c r="H24" s="115" t="s">
        <v>1125</v>
      </c>
    </row>
    <row r="25" spans="1:8" hidden="1">
      <c r="H25" s="115" t="s">
        <v>276</v>
      </c>
    </row>
    <row r="26" spans="1:8" hidden="1">
      <c r="H26" t="s">
        <v>277</v>
      </c>
    </row>
    <row r="27" spans="1:8" hidden="1">
      <c r="H27"/>
    </row>
    <row r="28" spans="1:8" hidden="1">
      <c r="H28"/>
    </row>
    <row r="29" spans="1:8" hidden="1">
      <c r="H29" t="s">
        <v>278</v>
      </c>
    </row>
    <row r="30" spans="1:8" hidden="1">
      <c r="H30">
        <f>IF(OR(OR(B4&gt;B2,B4&lt;4),OR(B5&gt;B3,B5&lt;2)),1,0)</f>
        <v>0</v>
      </c>
    </row>
    <row r="31" spans="1:8" hidden="1"/>
    <row r="32" spans="1:8" hidden="1"/>
    <row r="33" spans="2:44" hidden="1"/>
    <row r="34" spans="2:44" hidden="1"/>
    <row r="35" spans="2:44" hidden="1"/>
    <row r="36" spans="2:44" hidden="1"/>
    <row r="37" spans="2:44" hidden="1">
      <c r="B37" s="148"/>
      <c r="C37" s="148"/>
      <c r="E37" s="148"/>
      <c r="F37" s="148"/>
      <c r="T37" s="148"/>
      <c r="U37" s="148"/>
      <c r="V37" s="148"/>
      <c r="W37" s="148"/>
      <c r="X37" s="148"/>
      <c r="Y37" s="148"/>
    </row>
    <row r="38" spans="2:44" ht="14.25" hidden="1" customHeight="1">
      <c r="B38" s="149" t="s">
        <v>430</v>
      </c>
      <c r="C38" s="149" t="s">
        <v>431</v>
      </c>
      <c r="D38" s="150" t="s">
        <v>1205</v>
      </c>
      <c r="E38" s="151"/>
      <c r="F38" s="151"/>
      <c r="G38" s="151"/>
      <c r="H38" s="874" t="s">
        <v>435</v>
      </c>
      <c r="I38" s="875"/>
      <c r="J38" s="875"/>
      <c r="K38" s="875"/>
      <c r="L38" s="876"/>
      <c r="M38" s="176"/>
      <c r="N38" s="874" t="s">
        <v>656</v>
      </c>
      <c r="O38" s="875"/>
      <c r="P38" s="875"/>
      <c r="Q38" s="875"/>
      <c r="R38" s="876"/>
      <c r="S38" s="176"/>
      <c r="T38" s="877" t="s">
        <v>657</v>
      </c>
      <c r="U38" s="878"/>
      <c r="V38" s="878"/>
      <c r="W38" s="878"/>
      <c r="X38" s="878"/>
      <c r="Y38" s="878"/>
      <c r="Z38" s="878"/>
      <c r="AA38" s="878"/>
      <c r="AB38" s="878"/>
      <c r="AC38" s="878"/>
      <c r="AD38" s="878"/>
      <c r="AE38" s="878"/>
      <c r="AF38" s="878"/>
      <c r="AG38" s="878"/>
      <c r="AH38" s="878"/>
      <c r="AI38" s="878"/>
      <c r="AJ38" s="878"/>
      <c r="AK38" s="878"/>
      <c r="AL38" s="878"/>
      <c r="AM38" s="878"/>
      <c r="AN38" s="878"/>
      <c r="AO38" s="878"/>
      <c r="AP38" s="878"/>
      <c r="AQ38" s="878"/>
      <c r="AR38" s="879"/>
    </row>
    <row r="39" spans="2:44" ht="67.5" hidden="1">
      <c r="B39" s="874" t="s">
        <v>658</v>
      </c>
      <c r="C39" s="875"/>
      <c r="D39" s="875"/>
      <c r="E39" s="875"/>
      <c r="F39" s="876"/>
      <c r="G39" s="151"/>
      <c r="H39" s="760" t="s">
        <v>252</v>
      </c>
      <c r="I39" s="761"/>
      <c r="J39" s="761"/>
      <c r="K39" s="761"/>
      <c r="L39" s="762"/>
      <c r="M39" s="176"/>
      <c r="N39" s="760" t="s">
        <v>1127</v>
      </c>
      <c r="O39" s="761"/>
      <c r="P39" s="761"/>
      <c r="Q39" s="761"/>
      <c r="R39" s="762"/>
      <c r="S39" s="176"/>
      <c r="T39" s="195" t="s">
        <v>660</v>
      </c>
      <c r="U39" s="196" t="s">
        <v>661</v>
      </c>
      <c r="V39" s="196" t="s">
        <v>1128</v>
      </c>
      <c r="W39" s="196" t="s">
        <v>1129</v>
      </c>
      <c r="X39" s="196" t="s">
        <v>664</v>
      </c>
      <c r="Y39" s="196" t="s">
        <v>665</v>
      </c>
      <c r="Z39" s="196" t="s">
        <v>1067</v>
      </c>
      <c r="AA39" s="196" t="s">
        <v>1068</v>
      </c>
      <c r="AB39" s="196" t="s">
        <v>1069</v>
      </c>
      <c r="AC39" s="196" t="s">
        <v>1070</v>
      </c>
      <c r="AD39" s="196" t="s">
        <v>1071</v>
      </c>
      <c r="AE39" s="196" t="s">
        <v>1072</v>
      </c>
      <c r="AF39" s="196" t="s">
        <v>1202</v>
      </c>
      <c r="AG39" s="196" t="s">
        <v>1131</v>
      </c>
      <c r="AH39" s="196" t="s">
        <v>1132</v>
      </c>
      <c r="AI39" s="196" t="s">
        <v>1133</v>
      </c>
      <c r="AJ39" s="196" t="s">
        <v>1134</v>
      </c>
      <c r="AK39" s="196" t="s">
        <v>1135</v>
      </c>
      <c r="AL39" s="196" t="s">
        <v>1136</v>
      </c>
      <c r="AM39" s="215" t="s">
        <v>1137</v>
      </c>
      <c r="AN39" s="196" t="s">
        <v>1138</v>
      </c>
      <c r="AO39" s="196" t="s">
        <v>1139</v>
      </c>
      <c r="AP39" s="196" t="s">
        <v>1140</v>
      </c>
      <c r="AQ39" s="196" t="s">
        <v>1141</v>
      </c>
      <c r="AR39" s="218" t="s">
        <v>1142</v>
      </c>
    </row>
    <row r="40" spans="2:44" ht="27" hidden="1">
      <c r="B40" s="152" t="s">
        <v>444</v>
      </c>
      <c r="C40" s="153" t="s">
        <v>438</v>
      </c>
      <c r="D40" s="153" t="s">
        <v>445</v>
      </c>
      <c r="E40" s="153" t="s">
        <v>442</v>
      </c>
      <c r="F40" s="154" t="s">
        <v>449</v>
      </c>
      <c r="G40" s="151"/>
      <c r="H40" s="155" t="s">
        <v>444</v>
      </c>
      <c r="I40" s="177" t="s">
        <v>438</v>
      </c>
      <c r="J40" s="177" t="s">
        <v>447</v>
      </c>
      <c r="K40" s="177" t="s">
        <v>448</v>
      </c>
      <c r="L40" s="178" t="s">
        <v>449</v>
      </c>
      <c r="M40" s="176"/>
      <c r="N40" s="152" t="s">
        <v>444</v>
      </c>
      <c r="O40" s="153" t="s">
        <v>438</v>
      </c>
      <c r="P40" s="153" t="s">
        <v>447</v>
      </c>
      <c r="Q40" s="153" t="s">
        <v>688</v>
      </c>
      <c r="R40" s="197" t="s">
        <v>449</v>
      </c>
      <c r="S40" s="176"/>
      <c r="T40" s="198" t="s">
        <v>1126</v>
      </c>
      <c r="U40" s="199" t="s">
        <v>1143</v>
      </c>
      <c r="V40" s="199">
        <v>60</v>
      </c>
      <c r="W40" s="199">
        <v>50</v>
      </c>
      <c r="X40" s="200">
        <v>1</v>
      </c>
      <c r="Y40" s="200">
        <v>4</v>
      </c>
      <c r="Z40" s="200">
        <v>128</v>
      </c>
      <c r="AA40" s="200">
        <v>4</v>
      </c>
      <c r="AB40" s="199">
        <v>5376</v>
      </c>
      <c r="AC40" s="199">
        <v>1</v>
      </c>
      <c r="AD40" s="199">
        <v>5376</v>
      </c>
      <c r="AE40" s="199">
        <v>5184</v>
      </c>
      <c r="AF40" s="200">
        <f>ROUNDUP((6*AG40/$Q$41)*1000,0)+ROUNDUP(3*$K$41,0)</f>
        <v>87840</v>
      </c>
      <c r="AG40" s="216">
        <f>IF(E42=8,124,248)</f>
        <v>124</v>
      </c>
      <c r="AH40" s="216">
        <v>12</v>
      </c>
      <c r="AI40" s="216">
        <v>2</v>
      </c>
      <c r="AJ40" s="216">
        <v>636</v>
      </c>
      <c r="AK40" s="216">
        <v>6</v>
      </c>
      <c r="AL40" s="216">
        <v>14</v>
      </c>
      <c r="AM40" s="217">
        <v>1</v>
      </c>
      <c r="AN40" s="199" t="s">
        <v>692</v>
      </c>
      <c r="AO40" s="199">
        <v>60000</v>
      </c>
      <c r="AP40" s="216">
        <v>5120</v>
      </c>
      <c r="AQ40" s="216">
        <v>5120</v>
      </c>
      <c r="AR40" s="219">
        <v>4</v>
      </c>
    </row>
    <row r="41" spans="2:44" ht="27" hidden="1">
      <c r="B41" s="760" t="s">
        <v>218</v>
      </c>
      <c r="C41" s="761"/>
      <c r="D41" s="761"/>
      <c r="E41" s="761"/>
      <c r="F41" s="762"/>
      <c r="G41" s="151"/>
      <c r="H41" s="156" t="s">
        <v>321</v>
      </c>
      <c r="I41" s="175" t="s">
        <v>320</v>
      </c>
      <c r="J41" s="179" t="s">
        <v>1144</v>
      </c>
      <c r="K41" s="180">
        <f>ROUNDUP(1000*Q44*Q42/Q41,0)</f>
        <v>24320</v>
      </c>
      <c r="L41" s="156" t="s">
        <v>461</v>
      </c>
      <c r="M41" s="176"/>
      <c r="N41" s="157" t="s">
        <v>288</v>
      </c>
      <c r="O41" s="158" t="s">
        <v>287</v>
      </c>
      <c r="P41" s="158" t="s">
        <v>1145</v>
      </c>
      <c r="Q41" s="183">
        <f>VLOOKUP(D38,$T$39:$AR$49,4,FALSE)</f>
        <v>50</v>
      </c>
      <c r="R41" s="184" t="s">
        <v>626</v>
      </c>
      <c r="S41" s="176"/>
      <c r="T41" s="201" t="s">
        <v>1203</v>
      </c>
      <c r="U41" s="201" t="s">
        <v>1204</v>
      </c>
      <c r="V41" s="201">
        <v>60</v>
      </c>
      <c r="W41" s="201">
        <v>50</v>
      </c>
      <c r="X41" s="202">
        <v>1</v>
      </c>
      <c r="Y41" s="202">
        <v>4</v>
      </c>
      <c r="Z41" s="202">
        <v>114</v>
      </c>
      <c r="AA41" s="202">
        <v>4</v>
      </c>
      <c r="AB41" s="201">
        <v>4736</v>
      </c>
      <c r="AC41" s="201">
        <v>1</v>
      </c>
      <c r="AD41" s="201">
        <v>4736</v>
      </c>
      <c r="AE41" s="201">
        <v>4160</v>
      </c>
      <c r="AF41" s="202" t="e">
        <f>ROUNDUP((AG41/$P$5)*1000,0)</f>
        <v>#DIV/0!</v>
      </c>
      <c r="AG41" s="212">
        <v>152</v>
      </c>
      <c r="AH41" s="212">
        <v>8</v>
      </c>
      <c r="AI41" s="212">
        <v>2</v>
      </c>
      <c r="AJ41" s="212">
        <v>119</v>
      </c>
      <c r="AK41" s="212">
        <v>6</v>
      </c>
      <c r="AL41" s="212">
        <v>14</v>
      </c>
      <c r="AM41" s="201">
        <v>1</v>
      </c>
      <c r="AN41" s="201" t="s">
        <v>692</v>
      </c>
      <c r="AO41" s="201">
        <v>60000</v>
      </c>
      <c r="AP41" s="212">
        <v>4508</v>
      </c>
      <c r="AQ41" s="212">
        <v>4096</v>
      </c>
      <c r="AR41" s="201">
        <v>6</v>
      </c>
    </row>
    <row r="42" spans="2:44" ht="40.5" hidden="1">
      <c r="B42" s="157" t="s">
        <v>1146</v>
      </c>
      <c r="C42" s="158" t="s">
        <v>218</v>
      </c>
      <c r="D42" s="158">
        <v>8</v>
      </c>
      <c r="E42" s="159">
        <f>B10</f>
        <v>8</v>
      </c>
      <c r="F42" s="160" t="s">
        <v>594</v>
      </c>
      <c r="G42" s="151"/>
      <c r="H42" s="156" t="s">
        <v>1147</v>
      </c>
      <c r="I42" s="175" t="s">
        <v>251</v>
      </c>
      <c r="J42" s="179" t="s">
        <v>1148</v>
      </c>
      <c r="K42" s="180">
        <f>MAX(K45,K46,K47,K48)+K53</f>
        <v>84720</v>
      </c>
      <c r="L42" s="156" t="s">
        <v>478</v>
      </c>
      <c r="M42" s="166"/>
      <c r="N42" s="157" t="s">
        <v>1149</v>
      </c>
      <c r="O42" s="158" t="s">
        <v>1149</v>
      </c>
      <c r="P42" s="158" t="s">
        <v>1145</v>
      </c>
      <c r="Q42" s="183">
        <f>VLOOKUP(D38,$T$39:$AR$49,14,FALSE)</f>
        <v>152</v>
      </c>
      <c r="R42" s="184" t="s">
        <v>704</v>
      </c>
      <c r="S42" s="166"/>
      <c r="T42" s="201" t="s">
        <v>1205</v>
      </c>
      <c r="U42" s="201" t="s">
        <v>1206</v>
      </c>
      <c r="V42" s="201">
        <v>60</v>
      </c>
      <c r="W42" s="201">
        <v>50</v>
      </c>
      <c r="X42" s="202">
        <v>1</v>
      </c>
      <c r="Y42" s="202">
        <v>4</v>
      </c>
      <c r="Z42" s="202">
        <v>140</v>
      </c>
      <c r="AA42" s="202">
        <v>4</v>
      </c>
      <c r="AB42" s="201">
        <v>4480</v>
      </c>
      <c r="AC42" s="201">
        <v>1</v>
      </c>
      <c r="AD42" s="201">
        <v>4480</v>
      </c>
      <c r="AE42" s="201">
        <v>2224</v>
      </c>
      <c r="AF42" s="212">
        <f>ROUNDUP(AG42/$Q$41*1000,0)+ROUNDUP(7*$K$41,0)</f>
        <v>173280</v>
      </c>
      <c r="AG42" s="212">
        <f>IF(E42=8,152,304)</f>
        <v>152</v>
      </c>
      <c r="AH42" s="212">
        <v>8</v>
      </c>
      <c r="AI42" s="212">
        <v>2</v>
      </c>
      <c r="AJ42" s="212">
        <v>119</v>
      </c>
      <c r="AK42" s="212">
        <v>6</v>
      </c>
      <c r="AL42" s="212">
        <v>14</v>
      </c>
      <c r="AM42" s="201">
        <v>1</v>
      </c>
      <c r="AN42" s="201" t="s">
        <v>692</v>
      </c>
      <c r="AO42" s="201">
        <v>60000</v>
      </c>
      <c r="AP42" s="212">
        <v>4200</v>
      </c>
      <c r="AQ42" s="212">
        <v>2160</v>
      </c>
      <c r="AR42" s="201">
        <v>13</v>
      </c>
    </row>
    <row r="43" spans="2:44" ht="27" hidden="1">
      <c r="B43" s="760" t="s">
        <v>214</v>
      </c>
      <c r="C43" s="761"/>
      <c r="D43" s="761"/>
      <c r="E43" s="761"/>
      <c r="F43" s="762"/>
      <c r="G43" s="151"/>
      <c r="H43" s="156" t="s">
        <v>1150</v>
      </c>
      <c r="I43" s="175" t="s">
        <v>252</v>
      </c>
      <c r="J43" s="179" t="s">
        <v>1151</v>
      </c>
      <c r="K43" s="181">
        <f>1000000/K42</f>
        <v>11.803588290840416</v>
      </c>
      <c r="L43" s="156" t="s">
        <v>488</v>
      </c>
      <c r="M43" s="166"/>
      <c r="N43" s="157" t="s">
        <v>1152</v>
      </c>
      <c r="O43" s="158" t="s">
        <v>299</v>
      </c>
      <c r="P43" s="158" t="s">
        <v>1145</v>
      </c>
      <c r="Q43" s="183">
        <f>VLOOKUP(D38,$T$39:$AR$49,13,FALSE)</f>
        <v>173280</v>
      </c>
      <c r="R43" s="184" t="s">
        <v>461</v>
      </c>
      <c r="S43" s="166"/>
      <c r="T43" s="201" t="s">
        <v>1201</v>
      </c>
      <c r="U43" s="201" t="s">
        <v>1207</v>
      </c>
      <c r="V43" s="201">
        <v>60</v>
      </c>
      <c r="W43" s="201">
        <v>50</v>
      </c>
      <c r="X43" s="202">
        <v>1</v>
      </c>
      <c r="Y43" s="202">
        <v>4</v>
      </c>
      <c r="Z43" s="202">
        <v>100</v>
      </c>
      <c r="AA43" s="202">
        <v>4</v>
      </c>
      <c r="AB43" s="201">
        <v>2800</v>
      </c>
      <c r="AC43" s="201">
        <v>1</v>
      </c>
      <c r="AD43" s="201">
        <v>2800</v>
      </c>
      <c r="AE43" s="201">
        <v>2224</v>
      </c>
      <c r="AF43" s="212">
        <f>ROUNDUP(AG43/$Q$41*1000,0)+ROUNDUP(7*$K$41,0)</f>
        <v>173280</v>
      </c>
      <c r="AG43" s="212">
        <f>IF(E42=8,152,304)</f>
        <v>152</v>
      </c>
      <c r="AH43" s="212">
        <v>5</v>
      </c>
      <c r="AI43" s="212">
        <v>2</v>
      </c>
      <c r="AJ43" s="212">
        <v>119</v>
      </c>
      <c r="AK43" s="212">
        <v>6</v>
      </c>
      <c r="AL43" s="212">
        <v>14</v>
      </c>
      <c r="AM43" s="201">
        <v>1</v>
      </c>
      <c r="AN43" s="201" t="s">
        <v>692</v>
      </c>
      <c r="AO43" s="201">
        <v>40000</v>
      </c>
      <c r="AP43" s="212">
        <v>2600</v>
      </c>
      <c r="AQ43" s="212">
        <v>2160</v>
      </c>
      <c r="AR43" s="201">
        <v>21</v>
      </c>
    </row>
    <row r="44" spans="2:44" ht="13.5" hidden="1" customHeight="1">
      <c r="B44" s="157" t="s">
        <v>805</v>
      </c>
      <c r="C44" s="158" t="s">
        <v>214</v>
      </c>
      <c r="D44" s="158">
        <f>VLOOKUP(D38,$T$39:$AR$49,22,FALSE)</f>
        <v>60000</v>
      </c>
      <c r="E44" s="159">
        <f>B8</f>
        <v>60000</v>
      </c>
      <c r="F44" s="161" t="s">
        <v>478</v>
      </c>
      <c r="G44" s="151"/>
      <c r="H44" s="760" t="s">
        <v>510</v>
      </c>
      <c r="I44" s="761"/>
      <c r="J44" s="761"/>
      <c r="K44" s="761"/>
      <c r="L44" s="762"/>
      <c r="M44" s="166"/>
      <c r="N44" s="157" t="s">
        <v>1153</v>
      </c>
      <c r="O44" s="158" t="s">
        <v>1154</v>
      </c>
      <c r="P44" s="158" t="s">
        <v>1145</v>
      </c>
      <c r="Q44" s="183">
        <f>VLOOKUP(D38,$T$39:$AR$49,15,FALSE)</f>
        <v>8</v>
      </c>
      <c r="R44" s="184" t="s">
        <v>594</v>
      </c>
      <c r="S44" s="166"/>
      <c r="T44" s="59"/>
      <c r="U44" s="59"/>
      <c r="V44" s="59"/>
      <c r="W44" s="59"/>
      <c r="X44" s="59"/>
      <c r="Y44" s="59"/>
      <c r="Z44" s="59"/>
      <c r="AA44" s="59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</row>
    <row r="45" spans="2:44" ht="54" hidden="1">
      <c r="B45" s="157" t="s">
        <v>800</v>
      </c>
      <c r="C45" s="158" t="s">
        <v>216</v>
      </c>
      <c r="D45" s="158">
        <v>0</v>
      </c>
      <c r="E45" s="159">
        <f>B9</f>
        <v>0</v>
      </c>
      <c r="F45" s="161" t="s">
        <v>478</v>
      </c>
      <c r="G45" s="151"/>
      <c r="H45" s="156" t="s">
        <v>516</v>
      </c>
      <c r="I45" s="175" t="s">
        <v>517</v>
      </c>
      <c r="J45" s="179" t="s">
        <v>1155</v>
      </c>
      <c r="K45" s="180">
        <f>ROUNDUP(((E52+Q45+Q49)*K41+Q43)/1000,0)</f>
        <v>53070</v>
      </c>
      <c r="L45" s="182" t="s">
        <v>478</v>
      </c>
      <c r="M45" s="166"/>
      <c r="N45" s="157" t="s">
        <v>629</v>
      </c>
      <c r="O45" s="158" t="s">
        <v>630</v>
      </c>
      <c r="P45" s="158" t="s">
        <v>1145</v>
      </c>
      <c r="Q45" s="183">
        <f>VLOOKUP(D38,$T$39:$AR$49,19,FALSE)</f>
        <v>14</v>
      </c>
      <c r="R45" s="203" t="s">
        <v>469</v>
      </c>
      <c r="S45" s="166"/>
      <c r="T45" s="59"/>
      <c r="U45" s="59"/>
      <c r="V45" s="59"/>
      <c r="W45" s="59"/>
      <c r="X45" s="59"/>
      <c r="Y45" s="59"/>
      <c r="Z45" s="59"/>
      <c r="AA45" s="59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</row>
    <row r="46" spans="2:44" ht="27" hidden="1">
      <c r="B46" s="760" t="s">
        <v>747</v>
      </c>
      <c r="C46" s="761"/>
      <c r="D46" s="761"/>
      <c r="E46" s="761"/>
      <c r="F46" s="762"/>
      <c r="G46" s="151"/>
      <c r="H46" s="156" t="s">
        <v>522</v>
      </c>
      <c r="I46" s="175" t="s">
        <v>523</v>
      </c>
      <c r="J46" s="179" t="s">
        <v>1156</v>
      </c>
      <c r="K46" s="180">
        <f>ROUNDUP(E44-Q47/Q41+Q46*K41/1000+E45+Q43/1000,0)</f>
        <v>60220</v>
      </c>
      <c r="L46" s="182" t="s">
        <v>478</v>
      </c>
      <c r="M46" s="166"/>
      <c r="N46" s="157" t="s">
        <v>1157</v>
      </c>
      <c r="O46" s="158" t="s">
        <v>1158</v>
      </c>
      <c r="P46" s="158" t="s">
        <v>1145</v>
      </c>
      <c r="Q46" s="183">
        <f>VLOOKUP(D38,$T$39:$AR$49,16,FALSE)</f>
        <v>2</v>
      </c>
      <c r="R46" s="203" t="s">
        <v>469</v>
      </c>
      <c r="S46" s="166"/>
      <c r="T46" s="59"/>
      <c r="U46" s="59"/>
      <c r="V46" s="59"/>
      <c r="W46" s="59"/>
      <c r="X46" s="59"/>
      <c r="Y46" s="59"/>
      <c r="Z46" s="78"/>
      <c r="AA46" s="59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</row>
    <row r="47" spans="2:44" ht="27" hidden="1">
      <c r="B47" s="157" t="s">
        <v>1159</v>
      </c>
      <c r="C47" s="158" t="s">
        <v>503</v>
      </c>
      <c r="D47" s="158">
        <v>0</v>
      </c>
      <c r="E47" s="159">
        <v>0</v>
      </c>
      <c r="F47" s="160" t="s">
        <v>478</v>
      </c>
      <c r="G47" s="151"/>
      <c r="H47" s="157" t="s">
        <v>534</v>
      </c>
      <c r="I47" s="158" t="s">
        <v>535</v>
      </c>
      <c r="J47" s="158" t="s">
        <v>1160</v>
      </c>
      <c r="K47" s="183">
        <f>ROUNDUP((1000000/E62)*E61,0)</f>
        <v>0</v>
      </c>
      <c r="L47" s="184" t="s">
        <v>478</v>
      </c>
      <c r="M47" s="166"/>
      <c r="N47" s="157" t="s">
        <v>1161</v>
      </c>
      <c r="O47" s="158" t="s">
        <v>1162</v>
      </c>
      <c r="P47" s="158" t="s">
        <v>1145</v>
      </c>
      <c r="Q47" s="183">
        <f>VLOOKUP(D38,$T$39:$AR$49,17,FALSE)</f>
        <v>119</v>
      </c>
      <c r="R47" s="184" t="s">
        <v>1163</v>
      </c>
      <c r="S47" s="166"/>
      <c r="T47" s="204"/>
      <c r="U47" s="204"/>
      <c r="V47" s="204"/>
      <c r="W47" s="204"/>
      <c r="X47" s="204"/>
      <c r="Y47" s="204"/>
      <c r="Z47" s="213"/>
      <c r="AA47" s="213"/>
      <c r="AB47" s="166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</row>
    <row r="48" spans="2:44" ht="27" hidden="1">
      <c r="B48" s="760" t="s">
        <v>753</v>
      </c>
      <c r="C48" s="761"/>
      <c r="D48" s="761"/>
      <c r="E48" s="761"/>
      <c r="F48" s="762"/>
      <c r="G48" s="151"/>
      <c r="H48" s="157" t="s">
        <v>540</v>
      </c>
      <c r="I48" s="163" t="s">
        <v>417</v>
      </c>
      <c r="J48" s="179" t="s">
        <v>978</v>
      </c>
      <c r="K48" s="183">
        <f>Q79</f>
        <v>84720</v>
      </c>
      <c r="L48" s="184" t="s">
        <v>478</v>
      </c>
      <c r="M48" s="166"/>
      <c r="N48" s="157" t="s">
        <v>1164</v>
      </c>
      <c r="O48" s="158" t="s">
        <v>1165</v>
      </c>
      <c r="P48" s="158" t="s">
        <v>1145</v>
      </c>
      <c r="Q48" s="183">
        <f>VLOOKUP(D38,$T$39:$AR$49,18,FALSE)</f>
        <v>6</v>
      </c>
      <c r="R48" s="184" t="s">
        <v>469</v>
      </c>
      <c r="S48" s="166"/>
      <c r="T48" s="204"/>
      <c r="U48" s="205"/>
      <c r="V48" s="205"/>
      <c r="W48" s="205"/>
      <c r="X48" s="205"/>
      <c r="Y48" s="205"/>
      <c r="Z48" s="214"/>
      <c r="AA48" s="214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</row>
    <row r="49" spans="2:44" hidden="1">
      <c r="B49" s="157" t="s">
        <v>757</v>
      </c>
      <c r="C49" s="158" t="s">
        <v>758</v>
      </c>
      <c r="D49" s="158">
        <v>0</v>
      </c>
      <c r="E49" s="159">
        <v>0</v>
      </c>
      <c r="F49" s="160" t="s">
        <v>704</v>
      </c>
      <c r="G49" s="151"/>
      <c r="H49" s="760" t="s">
        <v>729</v>
      </c>
      <c r="I49" s="761"/>
      <c r="J49" s="761"/>
      <c r="K49" s="761"/>
      <c r="L49" s="762"/>
      <c r="M49" s="166"/>
      <c r="N49" s="157" t="s">
        <v>1166</v>
      </c>
      <c r="O49" s="158" t="s">
        <v>1167</v>
      </c>
      <c r="P49" s="158" t="s">
        <v>1145</v>
      </c>
      <c r="Q49" s="183">
        <v>1</v>
      </c>
      <c r="R49" s="184" t="s">
        <v>469</v>
      </c>
      <c r="S49" s="166"/>
      <c r="T49" s="204"/>
      <c r="U49" s="205"/>
      <c r="V49" s="205"/>
      <c r="W49" s="205"/>
      <c r="X49" s="205"/>
      <c r="Y49" s="205"/>
      <c r="Z49" s="214"/>
      <c r="AA49" s="214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</row>
    <row r="50" spans="2:44" ht="40.5" hidden="1">
      <c r="B50" s="162" t="s">
        <v>760</v>
      </c>
      <c r="C50" s="163" t="s">
        <v>761</v>
      </c>
      <c r="D50" s="163">
        <v>0</v>
      </c>
      <c r="E50" s="164">
        <v>0</v>
      </c>
      <c r="F50" s="161" t="s">
        <v>704</v>
      </c>
      <c r="G50" s="151"/>
      <c r="H50" s="162" t="s">
        <v>805</v>
      </c>
      <c r="I50" s="163" t="s">
        <v>1168</v>
      </c>
      <c r="J50" s="163" t="s">
        <v>1169</v>
      </c>
      <c r="K50" s="180">
        <f>ROUNDUP((1000*E44-1000*Q47/Q41)/1000,0)</f>
        <v>59998</v>
      </c>
      <c r="L50" s="182" t="s">
        <v>478</v>
      </c>
      <c r="M50" s="166"/>
      <c r="N50" s="760" t="s">
        <v>799</v>
      </c>
      <c r="O50" s="761"/>
      <c r="P50" s="761"/>
      <c r="Q50" s="761"/>
      <c r="R50" s="762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</row>
    <row r="51" spans="2:44" ht="27" hidden="1">
      <c r="B51" s="162" t="s">
        <v>202</v>
      </c>
      <c r="C51" s="163" t="s">
        <v>203</v>
      </c>
      <c r="D51" s="163">
        <f>VLOOKUP(D38,$T$39:$AR$49,23,FALSE)</f>
        <v>4200</v>
      </c>
      <c r="E51" s="164">
        <f>B4</f>
        <v>4200</v>
      </c>
      <c r="F51" s="161" t="s">
        <v>704</v>
      </c>
      <c r="G51" s="151"/>
      <c r="H51" s="162" t="s">
        <v>1170</v>
      </c>
      <c r="I51" s="163" t="s">
        <v>743</v>
      </c>
      <c r="J51" s="163" t="s">
        <v>484</v>
      </c>
      <c r="K51" s="180">
        <f>E45</f>
        <v>0</v>
      </c>
      <c r="L51" s="185" t="s">
        <v>469</v>
      </c>
      <c r="M51" s="166"/>
      <c r="N51" s="152" t="s">
        <v>444</v>
      </c>
      <c r="O51" s="153" t="s">
        <v>438</v>
      </c>
      <c r="P51" s="153" t="s">
        <v>447</v>
      </c>
      <c r="Q51" s="153" t="s">
        <v>688</v>
      </c>
      <c r="R51" s="197" t="s">
        <v>449</v>
      </c>
      <c r="S51" s="17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</row>
    <row r="52" spans="2:44" ht="94.5" hidden="1">
      <c r="B52" s="162" t="s">
        <v>204</v>
      </c>
      <c r="C52" s="163" t="s">
        <v>205</v>
      </c>
      <c r="D52" s="163">
        <f>VLOOKUP(D38,$T$39:$AR$49,24,FALSE)</f>
        <v>2160</v>
      </c>
      <c r="E52" s="164">
        <f>B5</f>
        <v>2160</v>
      </c>
      <c r="F52" s="161" t="s">
        <v>704</v>
      </c>
      <c r="G52" s="151"/>
      <c r="H52" s="162" t="s">
        <v>1171</v>
      </c>
      <c r="I52" s="163" t="s">
        <v>1172</v>
      </c>
      <c r="J52" s="163" t="s">
        <v>1173</v>
      </c>
      <c r="K52" s="186">
        <f>IF((MAX(K45,K46,K47,K48)-K50)&lt;K45,(IF((MAX(K45,K46,K47,K48)-K50)&gt;=(K45-ROUNDUP(6*K41/1000,0)),1,0)),0)</f>
        <v>0</v>
      </c>
      <c r="L52" s="185" t="s">
        <v>594</v>
      </c>
      <c r="M52" s="166"/>
      <c r="N52" s="157" t="s">
        <v>386</v>
      </c>
      <c r="O52" s="158" t="s">
        <v>452</v>
      </c>
      <c r="P52" s="158" t="s">
        <v>453</v>
      </c>
      <c r="Q52" s="183">
        <v>7</v>
      </c>
      <c r="R52" s="184" t="s">
        <v>454</v>
      </c>
      <c r="S52" s="17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</row>
    <row r="53" spans="2:44" ht="40.5" hidden="1">
      <c r="B53" s="760" t="s">
        <v>571</v>
      </c>
      <c r="C53" s="761"/>
      <c r="D53" s="761"/>
      <c r="E53" s="761"/>
      <c r="F53" s="762"/>
      <c r="G53" s="151"/>
      <c r="H53" s="162" t="s">
        <v>1174</v>
      </c>
      <c r="I53" s="163" t="s">
        <v>1175</v>
      </c>
      <c r="J53" s="163" t="s">
        <v>1176</v>
      </c>
      <c r="K53" s="186">
        <f>IF(K52=1,K45-(MAX(K45,K46,K47,K48)-K50),0)</f>
        <v>0</v>
      </c>
      <c r="L53" s="185" t="s">
        <v>478</v>
      </c>
      <c r="M53" s="166"/>
      <c r="N53" s="157" t="s">
        <v>387</v>
      </c>
      <c r="O53" s="158" t="s">
        <v>462</v>
      </c>
      <c r="P53" s="158" t="s">
        <v>463</v>
      </c>
      <c r="Q53" s="183">
        <v>1</v>
      </c>
      <c r="R53" s="184" t="s">
        <v>454</v>
      </c>
      <c r="S53" s="17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</row>
    <row r="54" spans="2:44" ht="27" hidden="1">
      <c r="B54" s="162" t="s">
        <v>779</v>
      </c>
      <c r="C54" s="163" t="s">
        <v>372</v>
      </c>
      <c r="D54" s="165">
        <v>0</v>
      </c>
      <c r="E54" s="164">
        <v>0</v>
      </c>
      <c r="F54" s="161" t="s">
        <v>594</v>
      </c>
      <c r="G54" s="151"/>
      <c r="H54" s="760" t="s">
        <v>366</v>
      </c>
      <c r="I54" s="761"/>
      <c r="J54" s="761"/>
      <c r="K54" s="761"/>
      <c r="L54" s="762"/>
      <c r="M54" s="166"/>
      <c r="N54" s="157" t="s">
        <v>388</v>
      </c>
      <c r="O54" s="158" t="s">
        <v>470</v>
      </c>
      <c r="P54" s="158" t="s">
        <v>471</v>
      </c>
      <c r="Q54" s="183">
        <v>14</v>
      </c>
      <c r="R54" s="184" t="s">
        <v>454</v>
      </c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</row>
    <row r="55" spans="2:44" ht="40.5" hidden="1">
      <c r="B55" s="760" t="s">
        <v>789</v>
      </c>
      <c r="C55" s="761"/>
      <c r="D55" s="761"/>
      <c r="E55" s="761"/>
      <c r="F55" s="762"/>
      <c r="G55" s="151"/>
      <c r="H55" s="162" t="s">
        <v>400</v>
      </c>
      <c r="I55" s="163" t="s">
        <v>762</v>
      </c>
      <c r="J55" s="163" t="s">
        <v>763</v>
      </c>
      <c r="K55" s="187">
        <f>K43*Q68</f>
        <v>107082152.97450426</v>
      </c>
      <c r="L55" s="188" t="s">
        <v>764</v>
      </c>
      <c r="M55" s="166"/>
      <c r="N55" s="157" t="s">
        <v>389</v>
      </c>
      <c r="O55" s="158" t="s">
        <v>479</v>
      </c>
      <c r="P55" s="158" t="s">
        <v>480</v>
      </c>
      <c r="Q55" s="183">
        <v>20</v>
      </c>
      <c r="R55" s="184" t="s">
        <v>454</v>
      </c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</row>
    <row r="56" spans="2:44" ht="27" hidden="1">
      <c r="B56" s="162" t="s">
        <v>230</v>
      </c>
      <c r="C56" s="163" t="s">
        <v>796</v>
      </c>
      <c r="D56" s="165" t="s">
        <v>594</v>
      </c>
      <c r="E56" s="164">
        <f>B16</f>
        <v>1000</v>
      </c>
      <c r="F56" s="161" t="s">
        <v>797</v>
      </c>
      <c r="G56" s="166"/>
      <c r="H56" s="167" t="s">
        <v>401</v>
      </c>
      <c r="I56" s="189" t="s">
        <v>767</v>
      </c>
      <c r="J56" s="163" t="s">
        <v>768</v>
      </c>
      <c r="K56" s="180">
        <f>K43*Q75</f>
        <v>111617256.84608121</v>
      </c>
      <c r="L56" s="188" t="s">
        <v>764</v>
      </c>
      <c r="M56" s="166"/>
      <c r="N56" s="157" t="s">
        <v>390</v>
      </c>
      <c r="O56" s="158" t="s">
        <v>489</v>
      </c>
      <c r="P56" s="158" t="s">
        <v>490</v>
      </c>
      <c r="Q56" s="183">
        <v>8</v>
      </c>
      <c r="R56" s="184" t="s">
        <v>454</v>
      </c>
      <c r="S56" s="166"/>
      <c r="T56" s="748" t="s">
        <v>531</v>
      </c>
      <c r="U56" s="749"/>
      <c r="V56" s="749"/>
      <c r="W56" s="749"/>
      <c r="X56" s="750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</row>
    <row r="57" spans="2:44" ht="81" hidden="1">
      <c r="B57" s="162" t="s">
        <v>803</v>
      </c>
      <c r="C57" s="163" t="s">
        <v>221</v>
      </c>
      <c r="D57" s="165">
        <v>1500</v>
      </c>
      <c r="E57" s="164">
        <f>B11</f>
        <v>1500</v>
      </c>
      <c r="F57" s="161" t="s">
        <v>454</v>
      </c>
      <c r="G57" s="166"/>
      <c r="H57" s="167" t="s">
        <v>402</v>
      </c>
      <c r="I57" s="189" t="s">
        <v>772</v>
      </c>
      <c r="J57" s="163" t="s">
        <v>773</v>
      </c>
      <c r="K57" s="180">
        <f>1250*E56*(100-E59)</f>
        <v>112500000</v>
      </c>
      <c r="L57" s="188" t="s">
        <v>764</v>
      </c>
      <c r="M57" s="166"/>
      <c r="N57" s="157" t="s">
        <v>391</v>
      </c>
      <c r="O57" s="158" t="s">
        <v>494</v>
      </c>
      <c r="P57" s="158" t="s">
        <v>490</v>
      </c>
      <c r="Q57" s="183">
        <v>8</v>
      </c>
      <c r="R57" s="184" t="s">
        <v>454</v>
      </c>
      <c r="S57" s="166"/>
      <c r="T57" s="152" t="s">
        <v>1177</v>
      </c>
      <c r="U57" s="153" t="s">
        <v>1178</v>
      </c>
      <c r="V57" s="153" t="s">
        <v>438</v>
      </c>
      <c r="W57" s="153" t="s">
        <v>447</v>
      </c>
      <c r="X57" s="154" t="s">
        <v>777</v>
      </c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</row>
    <row r="58" spans="2:44" ht="54" hidden="1">
      <c r="B58" s="162" t="str">
        <f>"流通道包间隔(不包括12B最小值的部分) 
范围:0-"&amp;K59</f>
        <v>流通道包间隔(不包括12B最小值的部分) 
范围:0-179943</v>
      </c>
      <c r="C58" s="163" t="s">
        <v>223</v>
      </c>
      <c r="D58" s="165">
        <v>0</v>
      </c>
      <c r="E58" s="164">
        <f>B12</f>
        <v>0</v>
      </c>
      <c r="F58" s="161" t="s">
        <v>454</v>
      </c>
      <c r="G58" s="166"/>
      <c r="H58" s="760" t="s">
        <v>600</v>
      </c>
      <c r="I58" s="761"/>
      <c r="J58" s="761"/>
      <c r="K58" s="761"/>
      <c r="L58" s="762"/>
      <c r="M58" s="166"/>
      <c r="N58" s="157" t="s">
        <v>392</v>
      </c>
      <c r="O58" s="158" t="s">
        <v>498</v>
      </c>
      <c r="P58" s="158" t="s">
        <v>499</v>
      </c>
      <c r="Q58" s="183">
        <v>4</v>
      </c>
      <c r="R58" s="184" t="s">
        <v>454</v>
      </c>
      <c r="S58" s="166"/>
      <c r="T58" s="207" t="s">
        <v>1179</v>
      </c>
      <c r="U58" s="163" t="s">
        <v>1100</v>
      </c>
      <c r="V58" s="208" t="s">
        <v>1180</v>
      </c>
      <c r="W58" s="158" t="s">
        <v>800</v>
      </c>
      <c r="X58" s="188" t="str">
        <f>DEC2HEX(K51)</f>
        <v>0</v>
      </c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</row>
    <row r="59" spans="2:44" ht="175.5" hidden="1">
      <c r="B59" s="162" t="str">
        <f>"预留带宽 
范围:0-"&amp;K61</f>
        <v>预留带宽 
范围:0-99</v>
      </c>
      <c r="C59" s="163" t="s">
        <v>233</v>
      </c>
      <c r="D59" s="165">
        <v>10</v>
      </c>
      <c r="E59" s="164">
        <f>B17</f>
        <v>10</v>
      </c>
      <c r="F59" s="161" t="s">
        <v>614</v>
      </c>
      <c r="G59" s="166"/>
      <c r="H59" s="167" t="s">
        <v>403</v>
      </c>
      <c r="I59" s="190" t="s">
        <v>780</v>
      </c>
      <c r="J59" s="163" t="s">
        <v>1181</v>
      </c>
      <c r="K59" s="180">
        <f>IF((ROUNDDOWN((Q78-(Q73+Q74+Q75))/(Q69+Q71+2),0)-12)&lt;IF(E56=100,18000,180000),ROUNDDOWN((Q78-(Q73+Q74+Q75))/(Q69+Q71+2),0)-12,IF(E56=100,18000,180000))</f>
        <v>179943</v>
      </c>
      <c r="L59" s="188" t="s">
        <v>454</v>
      </c>
      <c r="M59" s="166"/>
      <c r="N59" s="157" t="s">
        <v>331</v>
      </c>
      <c r="O59" s="158" t="s">
        <v>330</v>
      </c>
      <c r="P59" s="158" t="s">
        <v>504</v>
      </c>
      <c r="Q59" s="183">
        <v>12</v>
      </c>
      <c r="R59" s="184" t="s">
        <v>454</v>
      </c>
      <c r="S59" s="166"/>
      <c r="T59" s="209" t="s">
        <v>1182</v>
      </c>
      <c r="U59" s="163" t="s">
        <v>925</v>
      </c>
      <c r="V59" s="208" t="s">
        <v>1183</v>
      </c>
      <c r="W59" s="158" t="s">
        <v>805</v>
      </c>
      <c r="X59" s="210" t="str">
        <f>DEC2HEX(K50)</f>
        <v>EA5E</v>
      </c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</row>
    <row r="60" spans="2:44" ht="54" hidden="1">
      <c r="B60" s="760" t="s">
        <v>552</v>
      </c>
      <c r="C60" s="761"/>
      <c r="D60" s="761"/>
      <c r="E60" s="761"/>
      <c r="F60" s="762"/>
      <c r="G60" s="166"/>
      <c r="H60" s="760" t="s">
        <v>609</v>
      </c>
      <c r="I60" s="761"/>
      <c r="J60" s="761"/>
      <c r="K60" s="761"/>
      <c r="L60" s="762"/>
      <c r="M60" s="166"/>
      <c r="N60" s="157" t="s">
        <v>341</v>
      </c>
      <c r="O60" s="163" t="s">
        <v>511</v>
      </c>
      <c r="P60" s="158" t="s">
        <v>512</v>
      </c>
      <c r="Q60" s="183">
        <f>Q55+Q56+Q57</f>
        <v>36</v>
      </c>
      <c r="R60" s="184" t="s">
        <v>454</v>
      </c>
      <c r="S60" s="166"/>
      <c r="T60" s="209" t="s">
        <v>1184</v>
      </c>
      <c r="U60" s="163" t="s">
        <v>927</v>
      </c>
      <c r="V60" s="208" t="s">
        <v>1185</v>
      </c>
      <c r="W60" s="175" t="s">
        <v>1147</v>
      </c>
      <c r="X60" s="210" t="str">
        <f>DEC2HEX(MAX(K45,K46,K47,K48))</f>
        <v>14AF0</v>
      </c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</row>
    <row r="61" spans="2:44" ht="81" hidden="1">
      <c r="B61" s="157" t="s">
        <v>824</v>
      </c>
      <c r="C61" s="158" t="s">
        <v>558</v>
      </c>
      <c r="D61" s="158">
        <v>0</v>
      </c>
      <c r="E61" s="159">
        <f>B15</f>
        <v>0</v>
      </c>
      <c r="F61" s="160" t="s">
        <v>594</v>
      </c>
      <c r="G61" s="166"/>
      <c r="H61" s="168" t="s">
        <v>404</v>
      </c>
      <c r="I61" s="191" t="s">
        <v>609</v>
      </c>
      <c r="J61" s="192" t="s">
        <v>1208</v>
      </c>
      <c r="K61" s="193">
        <f>IF((100-ROUNDDOWN(10*Q77/(125000*E56),0)-1)&lt;0,0,(100-ROUNDDOWN(10*Q77/(125000*E56),0)-1))</f>
        <v>99</v>
      </c>
      <c r="L61" s="194" t="s">
        <v>614</v>
      </c>
      <c r="M61" s="166"/>
      <c r="N61" s="157" t="s">
        <v>343</v>
      </c>
      <c r="O61" s="163" t="s">
        <v>519</v>
      </c>
      <c r="P61" s="158" t="s">
        <v>520</v>
      </c>
      <c r="Q61" s="183">
        <f>Q52+Q53+Q54+Q58</f>
        <v>26</v>
      </c>
      <c r="R61" s="184" t="s">
        <v>454</v>
      </c>
      <c r="S61" s="166"/>
      <c r="T61" s="209" t="s">
        <v>1186</v>
      </c>
      <c r="U61" s="163" t="s">
        <v>1187</v>
      </c>
      <c r="V61" s="208" t="s">
        <v>1188</v>
      </c>
      <c r="W61" s="175" t="s">
        <v>1147</v>
      </c>
      <c r="X61" s="210" t="str">
        <f>DEC2HEX(MAX(K45,K46,K47))</f>
        <v>EB3C</v>
      </c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</row>
    <row r="62" spans="2:44" ht="54" hidden="1">
      <c r="B62" s="169" t="s">
        <v>552</v>
      </c>
      <c r="C62" s="170" t="s">
        <v>565</v>
      </c>
      <c r="D62" s="171">
        <f>VLOOKUP(D38,$T$39:$AR$49,25,FALSE)</f>
        <v>13</v>
      </c>
      <c r="E62" s="172">
        <f>B14</f>
        <v>13</v>
      </c>
      <c r="F62" s="173" t="s">
        <v>488</v>
      </c>
      <c r="G62" s="174"/>
      <c r="H62" s="174"/>
      <c r="I62" s="174"/>
      <c r="J62" s="174"/>
      <c r="K62" s="174"/>
      <c r="L62" s="174"/>
      <c r="M62" s="174"/>
      <c r="N62" s="157" t="s">
        <v>345</v>
      </c>
      <c r="O62" s="158" t="s">
        <v>344</v>
      </c>
      <c r="P62" s="158" t="s">
        <v>525</v>
      </c>
      <c r="Q62" s="183">
        <f>64-Q54-Q58-Q60</f>
        <v>10</v>
      </c>
      <c r="R62" s="184" t="s">
        <v>454</v>
      </c>
      <c r="S62" s="174"/>
      <c r="T62" s="209" t="s">
        <v>1189</v>
      </c>
      <c r="U62" s="163" t="s">
        <v>1190</v>
      </c>
      <c r="V62" s="208" t="s">
        <v>1191</v>
      </c>
      <c r="W62" s="158" t="s">
        <v>516</v>
      </c>
      <c r="X62" s="210" t="str">
        <f>DEC2HEX(K45)</f>
        <v>CF4E</v>
      </c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</row>
    <row r="63" spans="2:44" ht="40.5" hidden="1">
      <c r="B63" s="760" t="s">
        <v>1192</v>
      </c>
      <c r="C63" s="761"/>
      <c r="D63" s="761"/>
      <c r="E63" s="761"/>
      <c r="F63" s="762"/>
      <c r="G63" s="174"/>
      <c r="H63" s="166"/>
      <c r="I63" s="166"/>
      <c r="J63" s="166"/>
      <c r="K63" s="166"/>
      <c r="L63" s="166"/>
      <c r="M63" s="174"/>
      <c r="N63" s="760" t="s">
        <v>868</v>
      </c>
      <c r="O63" s="761"/>
      <c r="P63" s="761"/>
      <c r="Q63" s="761"/>
      <c r="R63" s="762"/>
      <c r="S63" s="174"/>
      <c r="T63" s="207" t="s">
        <v>1193</v>
      </c>
      <c r="U63" s="163" t="s">
        <v>1194</v>
      </c>
      <c r="V63" s="208" t="s">
        <v>1209</v>
      </c>
      <c r="W63" s="158" t="s">
        <v>1210</v>
      </c>
      <c r="X63" s="188" t="str">
        <f>DEC2HEX(ROUNDUP(6*K41/1000,0))</f>
        <v>92</v>
      </c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4"/>
      <c r="AK63" s="174"/>
      <c r="AL63" s="174"/>
      <c r="AM63" s="174"/>
      <c r="AN63" s="174"/>
      <c r="AO63" s="174"/>
      <c r="AP63" s="174"/>
      <c r="AQ63" s="174"/>
      <c r="AR63" s="174"/>
    </row>
    <row r="64" spans="2:44" ht="27" hidden="1">
      <c r="B64" s="157" t="s">
        <v>852</v>
      </c>
      <c r="C64" s="175" t="s">
        <v>853</v>
      </c>
      <c r="D64" s="158">
        <v>1</v>
      </c>
      <c r="E64" s="159">
        <f>B6</f>
        <v>1</v>
      </c>
      <c r="F64" s="160" t="s">
        <v>594</v>
      </c>
      <c r="G64" s="166"/>
      <c r="H64" s="166"/>
      <c r="I64" s="166"/>
      <c r="J64" s="166"/>
      <c r="K64" s="166"/>
      <c r="L64" s="166"/>
      <c r="M64" s="166"/>
      <c r="N64" s="152" t="s">
        <v>444</v>
      </c>
      <c r="O64" s="153" t="s">
        <v>438</v>
      </c>
      <c r="P64" s="153" t="s">
        <v>447</v>
      </c>
      <c r="Q64" s="153" t="s">
        <v>688</v>
      </c>
      <c r="R64" s="197" t="s">
        <v>449</v>
      </c>
      <c r="S64" s="166"/>
      <c r="T64" s="211" t="s">
        <v>829</v>
      </c>
      <c r="U64" s="163" t="s">
        <v>1103</v>
      </c>
      <c r="V64" s="163" t="s">
        <v>831</v>
      </c>
      <c r="W64" s="163" t="s">
        <v>594</v>
      </c>
      <c r="X64" s="210" t="s">
        <v>832</v>
      </c>
      <c r="Y64" s="174"/>
      <c r="Z64" s="174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</row>
    <row r="65" spans="2:44" ht="67.5" hidden="1">
      <c r="B65" s="220" t="s">
        <v>858</v>
      </c>
      <c r="C65" s="221" t="s">
        <v>859</v>
      </c>
      <c r="D65" s="222">
        <v>1</v>
      </c>
      <c r="E65" s="159">
        <f>B7</f>
        <v>1</v>
      </c>
      <c r="F65" s="223" t="s">
        <v>594</v>
      </c>
      <c r="G65" s="166"/>
      <c r="H65" s="166"/>
      <c r="I65" s="166"/>
      <c r="J65" s="166"/>
      <c r="K65" s="166"/>
      <c r="L65" s="166"/>
      <c r="M65" s="166"/>
      <c r="N65" s="157" t="s">
        <v>393</v>
      </c>
      <c r="O65" s="163" t="s">
        <v>1124</v>
      </c>
      <c r="P65" s="158" t="s">
        <v>543</v>
      </c>
      <c r="Q65" s="183">
        <f>36</f>
        <v>36</v>
      </c>
      <c r="R65" s="184" t="s">
        <v>454</v>
      </c>
      <c r="S65" s="166"/>
      <c r="T65" s="227" t="s">
        <v>864</v>
      </c>
      <c r="U65" s="228" t="s">
        <v>1197</v>
      </c>
      <c r="V65" s="228" t="s">
        <v>865</v>
      </c>
      <c r="W65" s="222" t="s">
        <v>1198</v>
      </c>
      <c r="X65" s="194" t="str">
        <f>DEC2HEX(ROUNDUP(K41*Q41/1000,0)-E51/VLOOKUP(D38,$T$39:$AR$49,5,FALSE)/VLOOKUP(D38,$T$39:$AR$49,6,FALSE))</f>
        <v>A6</v>
      </c>
      <c r="Y65" s="174"/>
      <c r="Z65" s="174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</row>
    <row r="66" spans="2:44" ht="40.5" hidden="1">
      <c r="B66" s="867" t="s">
        <v>272</v>
      </c>
      <c r="C66" s="868"/>
      <c r="D66" s="868"/>
      <c r="E66" s="868"/>
      <c r="F66" s="869"/>
      <c r="G66" s="166"/>
      <c r="H66" s="166"/>
      <c r="I66" s="166"/>
      <c r="J66" s="166"/>
      <c r="K66" s="166"/>
      <c r="L66" s="166"/>
      <c r="M66" s="166"/>
      <c r="N66" s="157" t="s">
        <v>394</v>
      </c>
      <c r="O66" s="163" t="s">
        <v>877</v>
      </c>
      <c r="P66" s="158" t="s">
        <v>548</v>
      </c>
      <c r="Q66" s="183">
        <v>10</v>
      </c>
      <c r="R66" s="184" t="s">
        <v>454</v>
      </c>
      <c r="S66" s="166"/>
      <c r="T66" s="174"/>
      <c r="U66" s="174"/>
      <c r="V66" s="174"/>
      <c r="W66" s="174"/>
      <c r="X66" s="174"/>
      <c r="Y66" s="174"/>
      <c r="Z66" s="174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</row>
    <row r="67" spans="2:44" ht="27" hidden="1">
      <c r="B67" s="224" t="s">
        <v>252</v>
      </c>
      <c r="C67" s="870" t="s">
        <v>407</v>
      </c>
      <c r="D67" s="871"/>
      <c r="E67" s="872">
        <f>K43</f>
        <v>11.803588290840416</v>
      </c>
      <c r="F67" s="873"/>
      <c r="G67" s="166"/>
      <c r="H67" s="166"/>
      <c r="I67" s="166"/>
      <c r="J67" s="166"/>
      <c r="K67" s="166"/>
      <c r="L67" s="166"/>
      <c r="M67" s="166"/>
      <c r="N67" s="162" t="s">
        <v>337</v>
      </c>
      <c r="O67" s="163" t="s">
        <v>884</v>
      </c>
      <c r="P67" s="163" t="s">
        <v>885</v>
      </c>
      <c r="Q67" s="187">
        <f>E51*E52*IF(E42=8,1,2)</f>
        <v>9072000</v>
      </c>
      <c r="R67" s="184" t="s">
        <v>454</v>
      </c>
      <c r="S67" s="166"/>
      <c r="T67" s="174"/>
      <c r="U67" s="174"/>
      <c r="V67" s="174"/>
      <c r="W67" s="174"/>
      <c r="X67" s="174"/>
      <c r="Y67" s="166"/>
      <c r="Z67" s="166"/>
      <c r="AA67" s="174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</row>
    <row r="68" spans="2:44" ht="27" hidden="1">
      <c r="B68" s="174"/>
      <c r="C68" s="174"/>
      <c r="D68" s="174"/>
      <c r="E68" s="174"/>
      <c r="F68" s="174"/>
      <c r="G68" s="166"/>
      <c r="H68" s="174"/>
      <c r="I68" s="174"/>
      <c r="J68" s="174"/>
      <c r="K68" s="174"/>
      <c r="L68" s="174"/>
      <c r="M68" s="166"/>
      <c r="N68" s="157" t="s">
        <v>339</v>
      </c>
      <c r="O68" s="163" t="s">
        <v>886</v>
      </c>
      <c r="P68" s="163" t="s">
        <v>887</v>
      </c>
      <c r="Q68" s="229">
        <f>Q67+32*E54</f>
        <v>9072000</v>
      </c>
      <c r="R68" s="184" t="s">
        <v>454</v>
      </c>
      <c r="S68" s="166"/>
      <c r="T68" s="166"/>
      <c r="U68" s="166"/>
      <c r="V68" s="166"/>
      <c r="W68" s="166"/>
      <c r="X68" s="166"/>
      <c r="Y68" s="166"/>
      <c r="Z68" s="166"/>
      <c r="AA68" s="174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</row>
    <row r="69" spans="2:44" ht="40.5" hidden="1"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57" t="s">
        <v>347</v>
      </c>
      <c r="O69" s="163" t="s">
        <v>346</v>
      </c>
      <c r="P69" s="158" t="s">
        <v>570</v>
      </c>
      <c r="Q69" s="230">
        <f>INT(Q68/(E57-Q60))</f>
        <v>6196</v>
      </c>
      <c r="R69" s="184"/>
      <c r="S69" s="174"/>
      <c r="T69" s="166"/>
      <c r="U69" s="166"/>
      <c r="V69" s="166"/>
      <c r="W69" s="166"/>
      <c r="X69" s="166"/>
      <c r="Y69" s="166"/>
      <c r="Z69" s="166"/>
      <c r="AA69" s="174"/>
      <c r="AB69" s="174"/>
      <c r="AC69" s="174"/>
      <c r="AD69" s="174"/>
      <c r="AE69" s="174"/>
      <c r="AF69" s="174"/>
      <c r="AG69" s="174"/>
      <c r="AH69" s="174"/>
      <c r="AI69" s="174"/>
      <c r="AJ69" s="174"/>
      <c r="AK69" s="174"/>
      <c r="AL69" s="174"/>
      <c r="AM69" s="174"/>
      <c r="AN69" s="174"/>
      <c r="AO69" s="174"/>
      <c r="AP69" s="174"/>
      <c r="AQ69" s="174"/>
      <c r="AR69" s="174"/>
    </row>
    <row r="70" spans="2:44" ht="54" hidden="1"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57" t="s">
        <v>349</v>
      </c>
      <c r="O70" s="163" t="s">
        <v>888</v>
      </c>
      <c r="P70" s="158" t="s">
        <v>577</v>
      </c>
      <c r="Q70" s="230">
        <f>Q68-(E57-Q60)*Q69</f>
        <v>1056</v>
      </c>
      <c r="R70" s="184" t="s">
        <v>454</v>
      </c>
      <c r="S70" s="174"/>
      <c r="T70" s="166"/>
      <c r="U70" s="166"/>
      <c r="V70" s="166"/>
      <c r="W70" s="166"/>
      <c r="X70" s="166"/>
      <c r="Y70" s="166"/>
      <c r="Z70" s="166"/>
      <c r="AA70" s="166"/>
      <c r="AB70" s="174"/>
      <c r="AC70" s="174"/>
      <c r="AD70" s="174"/>
      <c r="AE70" s="174"/>
      <c r="AF70" s="174"/>
      <c r="AG70" s="174"/>
      <c r="AH70" s="174"/>
      <c r="AI70" s="174"/>
      <c r="AJ70" s="174"/>
      <c r="AK70" s="174"/>
      <c r="AL70" s="174"/>
      <c r="AM70" s="174"/>
      <c r="AN70" s="174"/>
      <c r="AO70" s="174"/>
      <c r="AP70" s="174"/>
      <c r="AQ70" s="174"/>
      <c r="AR70" s="174"/>
    </row>
    <row r="71" spans="2:44" ht="27" hidden="1">
      <c r="B71" s="166"/>
      <c r="C71" s="166"/>
      <c r="D71" s="166"/>
      <c r="E71" s="166"/>
      <c r="F71" s="166"/>
      <c r="G71" s="174"/>
      <c r="H71" s="166"/>
      <c r="I71" s="166"/>
      <c r="J71" s="166"/>
      <c r="K71" s="166"/>
      <c r="L71" s="166"/>
      <c r="M71" s="174"/>
      <c r="N71" s="156" t="s">
        <v>348</v>
      </c>
      <c r="O71" s="179" t="s">
        <v>245</v>
      </c>
      <c r="P71" s="175" t="s">
        <v>1199</v>
      </c>
      <c r="Q71" s="183">
        <f>IF(MOD(Q67,(E57-Q60))=0,0,1)</f>
        <v>1</v>
      </c>
      <c r="R71" s="184"/>
      <c r="S71" s="174"/>
      <c r="T71" s="166"/>
      <c r="U71" s="166"/>
      <c r="V71" s="166"/>
      <c r="W71" s="166"/>
      <c r="X71" s="166"/>
      <c r="Y71" s="166"/>
      <c r="Z71" s="166"/>
      <c r="AA71" s="166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74"/>
      <c r="AP71" s="174"/>
      <c r="AQ71" s="174"/>
      <c r="AR71" s="174"/>
    </row>
    <row r="72" spans="2:44" ht="54" hidden="1"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57" t="s">
        <v>351</v>
      </c>
      <c r="O72" s="163" t="s">
        <v>889</v>
      </c>
      <c r="P72" s="175" t="s">
        <v>584</v>
      </c>
      <c r="Q72" s="230">
        <f>IF(Q70&lt;Q62,Q62,Q70)</f>
        <v>1056</v>
      </c>
      <c r="R72" s="184" t="s">
        <v>454</v>
      </c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</row>
    <row r="73" spans="2:44" ht="27" hidden="1"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56" t="s">
        <v>353</v>
      </c>
      <c r="O73" s="179" t="s">
        <v>890</v>
      </c>
      <c r="P73" s="175" t="s">
        <v>586</v>
      </c>
      <c r="Q73" s="230">
        <f>Q61+Q60+Q65</f>
        <v>98</v>
      </c>
      <c r="R73" s="184" t="s">
        <v>454</v>
      </c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</row>
    <row r="74" spans="2:44" ht="27" hidden="1"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56" t="s">
        <v>355</v>
      </c>
      <c r="O74" s="179" t="s">
        <v>891</v>
      </c>
      <c r="P74" s="175" t="s">
        <v>892</v>
      </c>
      <c r="Q74" s="230">
        <f>Q61+Q60+Q66</f>
        <v>72</v>
      </c>
      <c r="R74" s="184" t="s">
        <v>454</v>
      </c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</row>
    <row r="75" spans="2:44" ht="81" hidden="1">
      <c r="B75" s="166"/>
      <c r="C75" s="166"/>
      <c r="D75" s="166"/>
      <c r="E75" s="166"/>
      <c r="F75" s="166"/>
      <c r="G75" s="166"/>
      <c r="H75" s="166"/>
      <c r="I75" s="166"/>
      <c r="J75" s="151"/>
      <c r="K75" s="166"/>
      <c r="L75" s="166"/>
      <c r="M75" s="166"/>
      <c r="N75" s="156" t="s">
        <v>357</v>
      </c>
      <c r="O75" s="179" t="s">
        <v>246</v>
      </c>
      <c r="P75" s="175" t="s">
        <v>893</v>
      </c>
      <c r="Q75" s="230">
        <f>Q69*(E57+Q61)+Q71*(Q72+Q61+Q60)</f>
        <v>9456214</v>
      </c>
      <c r="R75" s="184" t="s">
        <v>454</v>
      </c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</row>
    <row r="76" spans="2:44" ht="54" hidden="1"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225" t="s">
        <v>358</v>
      </c>
      <c r="O76" s="179" t="s">
        <v>894</v>
      </c>
      <c r="P76" s="179" t="s">
        <v>895</v>
      </c>
      <c r="Q76" s="231">
        <f>(2+Q71+Q69)*(Q59+E58)</f>
        <v>74388</v>
      </c>
      <c r="R76" s="188" t="s">
        <v>454</v>
      </c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</row>
    <row r="77" spans="2:44" ht="40.5" hidden="1"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2" t="s">
        <v>359</v>
      </c>
      <c r="O77" s="163" t="s">
        <v>896</v>
      </c>
      <c r="P77" s="163" t="s">
        <v>607</v>
      </c>
      <c r="Q77" s="187">
        <f>Q73+Q74+Q75+Q76</f>
        <v>9530772</v>
      </c>
      <c r="R77" s="188" t="s">
        <v>454</v>
      </c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</row>
    <row r="78" spans="2:44" ht="27" hidden="1"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225" t="s">
        <v>361</v>
      </c>
      <c r="O78" s="179" t="s">
        <v>360</v>
      </c>
      <c r="P78" s="179" t="s">
        <v>897</v>
      </c>
      <c r="Q78" s="180">
        <f>INT(1000000*E56*(100-E59)/80)</f>
        <v>1125000000</v>
      </c>
      <c r="R78" s="232" t="s">
        <v>898</v>
      </c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</row>
    <row r="79" spans="2:44" ht="40.5" hidden="1"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226" t="s">
        <v>363</v>
      </c>
      <c r="O79" s="192" t="s">
        <v>362</v>
      </c>
      <c r="P79" s="192" t="s">
        <v>1200</v>
      </c>
      <c r="Q79" s="193">
        <f>ROUNDUP(Q77*1000000/Q78,0)*10</f>
        <v>84720</v>
      </c>
      <c r="R79" s="233" t="s">
        <v>478</v>
      </c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</row>
    <row r="80" spans="2:44" hidden="1">
      <c r="H80" s="166"/>
      <c r="I80" s="166"/>
      <c r="J80" s="166"/>
      <c r="K80" s="166"/>
      <c r="L80" s="166"/>
    </row>
    <row r="81" spans="8:18" hidden="1">
      <c r="H81" s="166"/>
      <c r="I81" s="166"/>
      <c r="J81" s="166"/>
      <c r="K81" s="166"/>
      <c r="L81" s="166"/>
      <c r="N81" s="148"/>
      <c r="O81" s="148"/>
      <c r="P81" s="148"/>
      <c r="Q81" s="148"/>
      <c r="R81" s="148"/>
    </row>
    <row r="82" spans="8:18">
      <c r="N82" s="148"/>
      <c r="O82" s="148"/>
      <c r="P82" s="148"/>
      <c r="Q82" s="148"/>
      <c r="R82" s="148"/>
    </row>
    <row r="83" spans="8:18">
      <c r="N83" s="148"/>
      <c r="O83" s="148"/>
      <c r="P83" s="148"/>
      <c r="Q83" s="148"/>
      <c r="R83" s="148"/>
    </row>
    <row r="84" spans="8:18">
      <c r="N84" s="148"/>
      <c r="O84" s="148"/>
      <c r="P84" s="148"/>
      <c r="Q84" s="148"/>
      <c r="R84" s="148"/>
    </row>
    <row r="85" spans="8:18">
      <c r="N85" s="148"/>
      <c r="O85" s="148"/>
      <c r="P85" s="148"/>
      <c r="Q85" s="148"/>
      <c r="R85" s="148"/>
    </row>
    <row r="86" spans="8:18">
      <c r="N86" s="148"/>
      <c r="O86" s="148"/>
      <c r="P86" s="148"/>
      <c r="Q86" s="148"/>
      <c r="R86" s="148"/>
    </row>
    <row r="87" spans="8:18">
      <c r="N87" s="148"/>
      <c r="O87" s="148"/>
      <c r="P87" s="148"/>
      <c r="Q87" s="148"/>
      <c r="R87" s="148"/>
    </row>
    <row r="88" spans="8:18">
      <c r="N88" s="148"/>
      <c r="O88" s="148"/>
      <c r="P88" s="148"/>
      <c r="Q88" s="148"/>
      <c r="R88" s="148"/>
    </row>
    <row r="89" spans="8:18">
      <c r="N89" s="148"/>
      <c r="O89" s="148"/>
      <c r="P89" s="148"/>
      <c r="Q89" s="148"/>
      <c r="R89" s="148"/>
    </row>
    <row r="90" spans="8:18">
      <c r="N90" s="148"/>
      <c r="O90" s="148"/>
      <c r="P90" s="148"/>
      <c r="Q90" s="148"/>
      <c r="R90" s="148"/>
    </row>
    <row r="91" spans="8:18">
      <c r="N91" s="148"/>
      <c r="O91" s="148"/>
      <c r="P91" s="148"/>
      <c r="Q91" s="148"/>
      <c r="R91" s="148"/>
    </row>
    <row r="92" spans="8:18">
      <c r="N92" s="148"/>
      <c r="O92" s="148"/>
      <c r="P92" s="148"/>
      <c r="Q92" s="148"/>
      <c r="R92" s="148"/>
    </row>
  </sheetData>
  <sheetProtection algorithmName="SHA-512" hashValue="DLw1lgYtIx65Z9ec6vss+OkysA8+1L6/29uszIuSwoknTNLZtHieaC3ajeOgCciiwxRuqtoBKIrd1Rgp30DuuA==" saltValue="ppAcuAs+/vv0yILuYikrug==" spinCount="100000" sheet="1" objects="1" selectLockedCells="1"/>
  <mergeCells count="25">
    <mergeCell ref="H38:L38"/>
    <mergeCell ref="N38:R38"/>
    <mergeCell ref="T38:AR38"/>
    <mergeCell ref="B39:F39"/>
    <mergeCell ref="H39:L39"/>
    <mergeCell ref="N39:R39"/>
    <mergeCell ref="B41:F41"/>
    <mergeCell ref="B43:F43"/>
    <mergeCell ref="H44:L44"/>
    <mergeCell ref="B46:F46"/>
    <mergeCell ref="B48:F48"/>
    <mergeCell ref="H49:L49"/>
    <mergeCell ref="N50:R50"/>
    <mergeCell ref="B53:F53"/>
    <mergeCell ref="H54:L54"/>
    <mergeCell ref="B55:F55"/>
    <mergeCell ref="B66:F66"/>
    <mergeCell ref="C67:D67"/>
    <mergeCell ref="E67:F67"/>
    <mergeCell ref="T56:X56"/>
    <mergeCell ref="H58:L58"/>
    <mergeCell ref="B60:F60"/>
    <mergeCell ref="H60:L60"/>
    <mergeCell ref="B63:F63"/>
    <mergeCell ref="N63:R63"/>
  </mergeCells>
  <phoneticPr fontId="37" type="noConversion"/>
  <dataValidations count="31">
    <dataValidation type="custom" allowBlank="1" showInputMessage="1" showErrorMessage="1" errorTitle="Input parameter error" error="Input range is 1 or 2." sqref="B6:B7">
      <formula1>OR((B6=1),(B6=2))</formula1>
    </dataValidation>
    <dataValidation allowBlank="1" showErrorMessage="1" promptTitle="参数变化" prompt="该参数会根据当前生效的水平像素Binning、水平像素抽样变化" sqref="B2"/>
    <dataValidation allowBlank="1" showInputMessage="1" showErrorMessage="1" error="输入范围是64~1024，步长为2" sqref="A1:B1"/>
    <dataValidation allowBlank="1" showErrorMessage="1" promptTitle="参数变化" prompt="该参数会根据当前生效的垂直像素Binning、垂直像素抽样变化" sqref="B3"/>
    <dataValidation type="custom" allowBlank="1" showInputMessage="1" showErrorMessage="1" errorTitle="Input parameter error" error="Input 8 or 12." sqref="B10">
      <formula1>OR((B10=8),(B10=12))</formula1>
    </dataValidation>
    <dataValidation type="whole" allowBlank="1" showInputMessage="1" showErrorMessage="1" error="The input range: [0,5000]" sqref="B9">
      <formula1>0</formula1>
      <formula2>5000</formula2>
    </dataValidation>
    <dataValidation type="custom" allowBlank="1" showInputMessage="1" showErrorMessage="1" errorTitle="Input parameter error" error="Input range from 4 to WidthMax, and is an integer multiple of 4." sqref="B4">
      <formula1>AND((B4&lt;=B2),(B4&gt;=4),(MOD(B4,4)=0))</formula1>
    </dataValidation>
    <dataValidation type="custom" allowBlank="1" showInputMessage="1" showErrorMessage="1" errorTitle="Input parameter error" error="Input range from 2 to HeightMax, and is an integer multiple of 2." sqref="B5">
      <formula1>AND((B5&lt;=B3),(B5&gt;=2),(MOD(B5,2)=0))</formula1>
    </dataValidation>
    <dataValidation type="whole" allowBlank="1" showInputMessage="1" showErrorMessage="1" errorTitle="Input parameter error" error="Input range is 0 to GevSCPDMaxValue." sqref="B12">
      <formula1>0</formula1>
      <formula2>B13</formula2>
    </dataValidation>
    <dataValidation type="whole" allowBlank="1" showInputMessage="1" showErrorMessage="1" errorTitle="Input parameter error" error="Input range from 14 to 1000000." sqref="B8">
      <formula1>14</formula1>
      <formula2>1000000</formula2>
    </dataValidation>
    <dataValidation type="custom" allowBlank="1" showInputMessage="1" showErrorMessage="1" errorTitle="Input parameter error" error="Input range is 512~8192, step is 4." sqref="B11">
      <formula1>AND((B11&lt;=8192),(B11&gt;=512),(MOD(B11,4)=0))</formula1>
    </dataValidation>
    <dataValidation type="list" allowBlank="1" showInputMessage="1" showErrorMessage="1" sqref="E54">
      <formula1>"0,1"</formula1>
    </dataValidation>
    <dataValidation type="custom" allowBlank="1" showInputMessage="1" showErrorMessage="1" errorTitle="Input parameter error" error="Input range from 0.1 to 10000, step 0.1." sqref="B14">
      <formula1>AND(TRUNC(B14,1)=B14,(B14&gt;=0.1),(B14&lt;=10000))</formula1>
    </dataValidation>
    <dataValidation type="list" allowBlank="1" showInputMessage="1" showErrorMessage="1" errorTitle="Input parameter error" error="Please input 0 or 1." sqref="B15">
      <formula1>"0,1"</formula1>
    </dataValidation>
    <dataValidation type="whole" allowBlank="1" showInputMessage="1" showErrorMessage="1" errorTitle="输入数值非法" error="最小值2，最大值D13" sqref="E52">
      <formula1>2</formula1>
      <formula2>D52</formula2>
    </dataValidation>
    <dataValidation type="custom" allowBlank="1" showInputMessage="1" showErrorMessage="1" errorTitle="Input parameter error" error="Please input 1000 or 100." sqref="B16">
      <formula1>OR((B16=1000),(B16=100))</formula1>
    </dataValidation>
    <dataValidation type="whole" allowBlank="1" showInputMessage="1" showErrorMessage="1" errorTitle="Input parameter error" error="Input range is 0 to BandwidthReserveMaxValue, and is an integer multiple of 1." sqref="B17">
      <formula1>0</formula1>
      <formula2>B18</formula2>
    </dataValidation>
    <dataValidation type="list" allowBlank="1" showInputMessage="1" showErrorMessage="1" sqref="D38">
      <formula1>$T$40:$T$43</formula1>
    </dataValidation>
    <dataValidation type="list" allowBlank="1" showInputMessage="1" showErrorMessage="1" sqref="E42">
      <formula1>"8,12"</formula1>
    </dataValidation>
    <dataValidation type="whole" allowBlank="1" showInputMessage="1" showErrorMessage="1" errorTitle="超出范围" error="曝光时间的范围是14us-1s" sqref="E44">
      <formula1>14</formula1>
      <formula2>1000000</formula2>
    </dataValidation>
    <dataValidation type="whole" allowBlank="1" showInputMessage="1" showErrorMessage="1" errorTitle="超出范围" error="曝光延迟的范围是0-5000us" sqref="E45">
      <formula1>0</formula1>
      <formula2>5000</formula2>
    </dataValidation>
    <dataValidation type="whole" allowBlank="1" showInputMessage="1" showErrorMessage="1" errorTitle="超出范围" error="触发延时的范围是0-3000000us" sqref="E47">
      <formula1>0</formula1>
      <formula2>3000000</formula2>
    </dataValidation>
    <dataValidation type="whole" allowBlank="1" showInputMessage="1" showErrorMessage="1" errorTitle="输入数值非法" error="最小值4，最大值D12" sqref="E51">
      <formula1>4</formula1>
      <formula2>D51</formula2>
    </dataValidation>
    <dataValidation type="list" allowBlank="1" showInputMessage="1" showErrorMessage="1" sqref="E56">
      <formula1>"1000,100"</formula1>
    </dataValidation>
    <dataValidation type="custom" allowBlank="1" showInputMessage="1" showErrorMessage="1" sqref="E57">
      <formula1>AND(MOD(E57,4)=0,E57&gt;=512,E57&lt;=16384)</formula1>
    </dataValidation>
    <dataValidation type="whole" allowBlank="1" showInputMessage="1" showErrorMessage="1" errorTitle="设置值超出范围" error="包间隔设置值超出范围" sqref="E58">
      <formula1>0</formula1>
      <formula2>K59</formula2>
    </dataValidation>
    <dataValidation type="whole" allowBlank="1" showInputMessage="1" showErrorMessage="1" errorTitle="设置值超出范围" error="预留带宽设置值超出范围" sqref="E59">
      <formula1>0</formula1>
      <formula2>K61</formula2>
    </dataValidation>
    <dataValidation type="list" allowBlank="1" showInputMessage="1" showErrorMessage="1" errorTitle="超出范围" error="0:关闭_x000a_1:打开" sqref="E61">
      <formula1>"0,1"</formula1>
    </dataValidation>
    <dataValidation type="decimal" allowBlank="1" showInputMessage="1" showErrorMessage="1" sqref="E62">
      <formula1>0.1</formula1>
      <formula2>10000</formula2>
    </dataValidation>
    <dataValidation type="whole" errorStyle="information" operator="lessThanOrEqual" allowBlank="1" showErrorMessage="1" error="设置水平Binning/Skipping时，需要同步修改水平ROI" sqref="E64">
      <formula1>1</formula1>
    </dataValidation>
    <dataValidation type="whole" errorStyle="information" operator="lessThanOrEqual" allowBlank="1" showErrorMessage="1" error="设置垂直Binning/Skipping时，需要同步修改垂直ROI" sqref="E65">
      <formula1>1</formula1>
    </dataValidation>
  </dataValidation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3"/>
  <sheetViews>
    <sheetView workbookViewId="0">
      <selection activeCell="B17" sqref="B17"/>
    </sheetView>
  </sheetViews>
  <sheetFormatPr defaultColWidth="9" defaultRowHeight="13.5"/>
  <cols>
    <col min="1" max="1" width="29" style="137" customWidth="1"/>
    <col min="2" max="2" width="19" style="137" customWidth="1"/>
    <col min="3" max="3" width="23.125" style="137" customWidth="1"/>
    <col min="4" max="4" width="19" style="137" customWidth="1"/>
    <col min="5" max="6" width="10" style="137" customWidth="1"/>
    <col min="7" max="7" width="6.125" style="137" customWidth="1"/>
    <col min="8" max="8" width="15.125" style="137" customWidth="1"/>
    <col min="9" max="9" width="24.5" style="137" customWidth="1"/>
    <col min="10" max="10" width="28.625" style="137" customWidth="1"/>
    <col min="11" max="11" width="16.125" style="137" customWidth="1"/>
    <col min="12" max="12" width="7.5" style="137" customWidth="1"/>
    <col min="13" max="13" width="4.5" style="137" customWidth="1"/>
    <col min="14" max="14" width="19.625" style="137" customWidth="1"/>
    <col min="15" max="15" width="27.25" style="137" customWidth="1"/>
    <col min="16" max="16" width="29" style="137" customWidth="1"/>
    <col min="17" max="17" width="12.75" style="137" customWidth="1"/>
    <col min="18" max="18" width="9.625" style="137" customWidth="1"/>
    <col min="19" max="19" width="4.875" style="137" customWidth="1"/>
    <col min="20" max="20" width="17" style="137" customWidth="1"/>
    <col min="21" max="22" width="15.625" style="137" customWidth="1"/>
    <col min="23" max="23" width="15.75" style="137" customWidth="1"/>
    <col min="24" max="24" width="16.375" style="137" customWidth="1"/>
    <col min="25" max="25" width="18.875" style="137" customWidth="1"/>
    <col min="26" max="26" width="14.875" style="137" customWidth="1"/>
    <col min="27" max="27" width="15.25" style="137" customWidth="1"/>
    <col min="28" max="28" width="20.5" style="137" customWidth="1"/>
    <col min="29" max="29" width="22" style="137" customWidth="1"/>
    <col min="30" max="30" width="21.625" style="137" customWidth="1"/>
    <col min="31" max="31" width="20.625" style="137" customWidth="1"/>
    <col min="32" max="32" width="10" style="137" customWidth="1"/>
    <col min="33" max="33" width="9.75" style="137" customWidth="1"/>
    <col min="34" max="34" width="13.25" style="137" customWidth="1"/>
    <col min="35" max="35" width="13.875" style="137" customWidth="1"/>
    <col min="36" max="36" width="12.5" style="137" customWidth="1"/>
    <col min="37" max="37" width="23.875" style="137" customWidth="1"/>
    <col min="38" max="38" width="22.125" style="137" customWidth="1"/>
    <col min="39" max="39" width="17.5" style="137" customWidth="1"/>
    <col min="40" max="16384" width="9" style="137"/>
  </cols>
  <sheetData>
    <row r="1" spans="1:3">
      <c r="A1" s="138"/>
      <c r="B1" s="138"/>
    </row>
    <row r="2" spans="1:3">
      <c r="A2" s="104" t="s">
        <v>199</v>
      </c>
      <c r="B2" s="139">
        <f>D51/B6-MOD(D51/B6,4)</f>
        <v>4508</v>
      </c>
    </row>
    <row r="3" spans="1:3">
      <c r="A3" s="104" t="s">
        <v>201</v>
      </c>
      <c r="B3" s="139">
        <f>D52/B7-MOD(D52/B7,2)</f>
        <v>4096</v>
      </c>
    </row>
    <row r="4" spans="1:3">
      <c r="A4" s="138" t="s">
        <v>203</v>
      </c>
      <c r="B4" s="140">
        <v>4508</v>
      </c>
      <c r="C4" s="141" t="str">
        <f>IF(OR(B4&gt;B2,B4&lt;4),H24,"")</f>
        <v/>
      </c>
    </row>
    <row r="5" spans="1:3">
      <c r="A5" s="138" t="s">
        <v>205</v>
      </c>
      <c r="B5" s="140">
        <v>4096</v>
      </c>
      <c r="C5" s="141" t="str">
        <f>IF(OR(B5&gt;B3,B5&lt;2),H25,"")</f>
        <v/>
      </c>
    </row>
    <row r="6" spans="1:3">
      <c r="A6" s="104" t="s">
        <v>211</v>
      </c>
      <c r="B6" s="142">
        <v>1</v>
      </c>
    </row>
    <row r="7" spans="1:3">
      <c r="A7" s="104" t="s">
        <v>213</v>
      </c>
      <c r="B7" s="142">
        <v>1</v>
      </c>
    </row>
    <row r="8" spans="1:3">
      <c r="A8" s="138" t="s">
        <v>215</v>
      </c>
      <c r="B8" s="140">
        <v>60000</v>
      </c>
    </row>
    <row r="9" spans="1:3">
      <c r="A9" s="138" t="s">
        <v>217</v>
      </c>
      <c r="B9" s="143">
        <v>0</v>
      </c>
    </row>
    <row r="10" spans="1:3">
      <c r="A10" s="138" t="s">
        <v>219</v>
      </c>
      <c r="B10" s="140">
        <v>8</v>
      </c>
    </row>
    <row r="11" spans="1:3">
      <c r="A11" s="138" t="s">
        <v>221</v>
      </c>
      <c r="B11" s="140">
        <v>1500</v>
      </c>
    </row>
    <row r="12" spans="1:3">
      <c r="A12" s="138" t="s">
        <v>223</v>
      </c>
      <c r="B12" s="140">
        <v>0</v>
      </c>
    </row>
    <row r="13" spans="1:3">
      <c r="A13" s="138" t="s">
        <v>225</v>
      </c>
      <c r="B13" s="144">
        <f>K59</f>
        <v>87641</v>
      </c>
    </row>
    <row r="14" spans="1:3">
      <c r="A14" s="138" t="s">
        <v>227</v>
      </c>
      <c r="B14" s="140">
        <v>6</v>
      </c>
    </row>
    <row r="15" spans="1:3">
      <c r="A15" s="138" t="s">
        <v>229</v>
      </c>
      <c r="B15" s="140">
        <v>0</v>
      </c>
    </row>
    <row r="16" spans="1:3">
      <c r="A16" s="138" t="s">
        <v>231</v>
      </c>
      <c r="B16" s="140">
        <v>1000</v>
      </c>
    </row>
    <row r="17" spans="1:8">
      <c r="A17" s="138" t="s">
        <v>233</v>
      </c>
      <c r="B17" s="140">
        <v>10</v>
      </c>
    </row>
    <row r="18" spans="1:8">
      <c r="A18" s="138" t="s">
        <v>235</v>
      </c>
      <c r="B18" s="144">
        <f>K61</f>
        <v>98</v>
      </c>
    </row>
    <row r="19" spans="1:8" hidden="1">
      <c r="A19" s="138"/>
      <c r="B19" s="144"/>
    </row>
    <row r="20" spans="1:8" ht="14.25">
      <c r="A20" s="145"/>
      <c r="B20" s="146"/>
    </row>
    <row r="21" spans="1:8" ht="14.25">
      <c r="A21" s="145" t="s">
        <v>273</v>
      </c>
      <c r="B21" s="147">
        <f>K43</f>
        <v>5.7994548512439827</v>
      </c>
      <c r="C21" s="141" t="str">
        <f>IF(H30,H26,"")</f>
        <v/>
      </c>
    </row>
    <row r="23" spans="1:8" ht="27" hidden="1">
      <c r="H23" s="119" t="s">
        <v>274</v>
      </c>
    </row>
    <row r="24" spans="1:8" hidden="1">
      <c r="H24" s="115" t="s">
        <v>1125</v>
      </c>
    </row>
    <row r="25" spans="1:8" hidden="1">
      <c r="H25" s="115" t="s">
        <v>276</v>
      </c>
    </row>
    <row r="26" spans="1:8" hidden="1">
      <c r="H26" t="s">
        <v>277</v>
      </c>
    </row>
    <row r="27" spans="1:8" hidden="1">
      <c r="H27"/>
    </row>
    <row r="28" spans="1:8" hidden="1">
      <c r="H28"/>
    </row>
    <row r="29" spans="1:8" hidden="1">
      <c r="H29" t="s">
        <v>278</v>
      </c>
    </row>
    <row r="30" spans="1:8" hidden="1">
      <c r="H30">
        <f>IF(OR(OR(B4&gt;B2,B4&lt;4),OR(B5&gt;B3,B5&lt;2)),1,0)</f>
        <v>0</v>
      </c>
    </row>
    <row r="31" spans="1:8" hidden="1"/>
    <row r="32" spans="1:8" hidden="1"/>
    <row r="33" spans="2:45" hidden="1"/>
    <row r="34" spans="2:45" hidden="1"/>
    <row r="35" spans="2:45" hidden="1"/>
    <row r="36" spans="2:45" hidden="1"/>
    <row r="37" spans="2:45" hidden="1">
      <c r="B37" s="148"/>
      <c r="C37" s="148"/>
      <c r="E37" s="148"/>
      <c r="F37" s="148"/>
      <c r="T37" s="148"/>
      <c r="U37" s="148"/>
      <c r="V37" s="148"/>
      <c r="W37" s="148"/>
      <c r="X37" s="148"/>
      <c r="Y37" s="148"/>
    </row>
    <row r="38" spans="2:45" ht="14.25" hidden="1" customHeight="1">
      <c r="B38" s="149" t="s">
        <v>430</v>
      </c>
      <c r="C38" s="149" t="s">
        <v>431</v>
      </c>
      <c r="D38" s="150" t="s">
        <v>1203</v>
      </c>
      <c r="E38" s="151"/>
      <c r="F38" s="151"/>
      <c r="G38" s="151"/>
      <c r="H38" s="874" t="s">
        <v>435</v>
      </c>
      <c r="I38" s="875"/>
      <c r="J38" s="875"/>
      <c r="K38" s="875"/>
      <c r="L38" s="876"/>
      <c r="M38" s="176"/>
      <c r="N38" s="874" t="s">
        <v>656</v>
      </c>
      <c r="O38" s="875"/>
      <c r="P38" s="875"/>
      <c r="Q38" s="875"/>
      <c r="R38" s="876"/>
      <c r="S38" s="176"/>
      <c r="T38" s="877" t="s">
        <v>657</v>
      </c>
      <c r="U38" s="878"/>
      <c r="V38" s="878"/>
      <c r="W38" s="878"/>
      <c r="X38" s="878"/>
      <c r="Y38" s="878"/>
      <c r="Z38" s="878"/>
      <c r="AA38" s="878"/>
      <c r="AB38" s="878"/>
      <c r="AC38" s="878"/>
      <c r="AD38" s="878"/>
      <c r="AE38" s="878"/>
      <c r="AF38" s="878"/>
      <c r="AG38" s="878"/>
      <c r="AH38" s="878"/>
      <c r="AI38" s="878"/>
      <c r="AJ38" s="878"/>
      <c r="AK38" s="878"/>
      <c r="AL38" s="878"/>
      <c r="AM38" s="878"/>
      <c r="AN38" s="878"/>
      <c r="AO38" s="878"/>
      <c r="AP38" s="878"/>
      <c r="AQ38" s="878"/>
      <c r="AR38" s="878"/>
      <c r="AS38" s="879"/>
    </row>
    <row r="39" spans="2:45" ht="67.5" hidden="1">
      <c r="B39" s="874" t="s">
        <v>658</v>
      </c>
      <c r="C39" s="875"/>
      <c r="D39" s="875"/>
      <c r="E39" s="875"/>
      <c r="F39" s="876"/>
      <c r="G39" s="151"/>
      <c r="H39" s="760" t="s">
        <v>252</v>
      </c>
      <c r="I39" s="761"/>
      <c r="J39" s="761"/>
      <c r="K39" s="761"/>
      <c r="L39" s="762"/>
      <c r="M39" s="176"/>
      <c r="N39" s="760" t="s">
        <v>1127</v>
      </c>
      <c r="O39" s="761"/>
      <c r="P39" s="761"/>
      <c r="Q39" s="761"/>
      <c r="R39" s="762"/>
      <c r="S39" s="176"/>
      <c r="T39" s="195" t="s">
        <v>660</v>
      </c>
      <c r="U39" s="196" t="s">
        <v>661</v>
      </c>
      <c r="V39" s="196" t="s">
        <v>1128</v>
      </c>
      <c r="W39" s="196" t="s">
        <v>1129</v>
      </c>
      <c r="X39" s="196" t="s">
        <v>664</v>
      </c>
      <c r="Y39" s="196" t="s">
        <v>665</v>
      </c>
      <c r="Z39" s="196" t="s">
        <v>1067</v>
      </c>
      <c r="AA39" s="196" t="s">
        <v>1068</v>
      </c>
      <c r="AB39" s="196" t="s">
        <v>1069</v>
      </c>
      <c r="AC39" s="196" t="s">
        <v>1070</v>
      </c>
      <c r="AD39" s="196" t="s">
        <v>1071</v>
      </c>
      <c r="AE39" s="196" t="s">
        <v>1072</v>
      </c>
      <c r="AF39" s="196" t="s">
        <v>1202</v>
      </c>
      <c r="AG39" s="196" t="s">
        <v>1131</v>
      </c>
      <c r="AH39" s="196" t="s">
        <v>1132</v>
      </c>
      <c r="AI39" s="196" t="s">
        <v>1133</v>
      </c>
      <c r="AJ39" s="196" t="s">
        <v>1134</v>
      </c>
      <c r="AK39" s="196" t="s">
        <v>1135</v>
      </c>
      <c r="AL39" s="196" t="s">
        <v>1136</v>
      </c>
      <c r="AM39" s="215" t="s">
        <v>1137</v>
      </c>
      <c r="AN39" s="196" t="s">
        <v>1138</v>
      </c>
      <c r="AO39" s="196" t="s">
        <v>1139</v>
      </c>
      <c r="AP39" s="196" t="s">
        <v>1140</v>
      </c>
      <c r="AQ39" s="196" t="s">
        <v>1141</v>
      </c>
      <c r="AR39" s="218" t="s">
        <v>1142</v>
      </c>
      <c r="AS39" s="218" t="s">
        <v>1211</v>
      </c>
    </row>
    <row r="40" spans="2:45" ht="27" hidden="1">
      <c r="B40" s="152" t="s">
        <v>444</v>
      </c>
      <c r="C40" s="153" t="s">
        <v>438</v>
      </c>
      <c r="D40" s="153" t="s">
        <v>445</v>
      </c>
      <c r="E40" s="153" t="s">
        <v>442</v>
      </c>
      <c r="F40" s="154" t="s">
        <v>449</v>
      </c>
      <c r="G40" s="151"/>
      <c r="H40" s="155" t="s">
        <v>444</v>
      </c>
      <c r="I40" s="177" t="s">
        <v>438</v>
      </c>
      <c r="J40" s="177" t="s">
        <v>447</v>
      </c>
      <c r="K40" s="177" t="s">
        <v>448</v>
      </c>
      <c r="L40" s="178" t="s">
        <v>449</v>
      </c>
      <c r="M40" s="176"/>
      <c r="N40" s="152" t="s">
        <v>444</v>
      </c>
      <c r="O40" s="153" t="s">
        <v>438</v>
      </c>
      <c r="P40" s="153" t="s">
        <v>447</v>
      </c>
      <c r="Q40" s="153" t="s">
        <v>688</v>
      </c>
      <c r="R40" s="197" t="s">
        <v>449</v>
      </c>
      <c r="S40" s="176"/>
      <c r="T40" s="198" t="s">
        <v>1126</v>
      </c>
      <c r="U40" s="199" t="s">
        <v>1143</v>
      </c>
      <c r="V40" s="199">
        <v>60</v>
      </c>
      <c r="W40" s="199">
        <v>50</v>
      </c>
      <c r="X40" s="200">
        <v>1</v>
      </c>
      <c r="Y40" s="200">
        <v>4</v>
      </c>
      <c r="Z40" s="200">
        <v>128</v>
      </c>
      <c r="AA40" s="200">
        <v>4</v>
      </c>
      <c r="AB40" s="199">
        <v>5376</v>
      </c>
      <c r="AC40" s="199">
        <v>1</v>
      </c>
      <c r="AD40" s="199">
        <v>5376</v>
      </c>
      <c r="AE40" s="199">
        <v>5184</v>
      </c>
      <c r="AF40" s="200">
        <f>ROUNDUP((6*AG40/$Q$41)*1000,0)+ROUNDUP(3*$K$41,0)</f>
        <v>87840</v>
      </c>
      <c r="AG40" s="216">
        <f>IF(E42=8,124,248)</f>
        <v>124</v>
      </c>
      <c r="AH40" s="216">
        <v>12</v>
      </c>
      <c r="AI40" s="216">
        <v>2</v>
      </c>
      <c r="AJ40" s="216">
        <v>636</v>
      </c>
      <c r="AK40" s="216">
        <v>6</v>
      </c>
      <c r="AL40" s="216">
        <v>14</v>
      </c>
      <c r="AM40" s="217">
        <v>1</v>
      </c>
      <c r="AN40" s="199" t="s">
        <v>692</v>
      </c>
      <c r="AO40" s="199">
        <v>60000</v>
      </c>
      <c r="AP40" s="216">
        <v>5120</v>
      </c>
      <c r="AQ40" s="216">
        <v>5120</v>
      </c>
      <c r="AR40" s="219">
        <v>4</v>
      </c>
      <c r="AS40" s="219">
        <v>1</v>
      </c>
    </row>
    <row r="41" spans="2:45" ht="27" hidden="1">
      <c r="B41" s="760" t="s">
        <v>218</v>
      </c>
      <c r="C41" s="761"/>
      <c r="D41" s="761"/>
      <c r="E41" s="761"/>
      <c r="F41" s="762"/>
      <c r="G41" s="151"/>
      <c r="H41" s="156" t="s">
        <v>321</v>
      </c>
      <c r="I41" s="175" t="s">
        <v>320</v>
      </c>
      <c r="J41" s="179" t="s">
        <v>1144</v>
      </c>
      <c r="K41" s="180">
        <f>ROUNDUP(1000*Q44*Q42/Q41,0)</f>
        <v>24320</v>
      </c>
      <c r="L41" s="156" t="s">
        <v>461</v>
      </c>
      <c r="M41" s="176"/>
      <c r="N41" s="157" t="s">
        <v>288</v>
      </c>
      <c r="O41" s="158" t="s">
        <v>287</v>
      </c>
      <c r="P41" s="158" t="s">
        <v>1145</v>
      </c>
      <c r="Q41" s="183">
        <f>VLOOKUP(D38,$T$39:$AT$49,4,FALSE)</f>
        <v>50</v>
      </c>
      <c r="R41" s="184" t="s">
        <v>626</v>
      </c>
      <c r="S41" s="176"/>
      <c r="T41" s="201" t="s">
        <v>1203</v>
      </c>
      <c r="U41" s="201" t="s">
        <v>1204</v>
      </c>
      <c r="V41" s="201">
        <v>60</v>
      </c>
      <c r="W41" s="201">
        <v>50</v>
      </c>
      <c r="X41" s="202">
        <v>1</v>
      </c>
      <c r="Y41" s="202">
        <v>4</v>
      </c>
      <c r="Z41" s="202">
        <v>115</v>
      </c>
      <c r="AA41" s="202">
        <v>4</v>
      </c>
      <c r="AB41" s="201">
        <v>4736</v>
      </c>
      <c r="AC41" s="201">
        <v>1</v>
      </c>
      <c r="AD41" s="201">
        <v>4736</v>
      </c>
      <c r="AE41" s="201">
        <v>4160</v>
      </c>
      <c r="AF41" s="212">
        <f>ROUNDUP((6*AG41/$Q$41)*1000,0)+ROUNDUP(4*$K$41,0)</f>
        <v>115520</v>
      </c>
      <c r="AG41" s="212">
        <f>IF(E42=8,152,304)</f>
        <v>152</v>
      </c>
      <c r="AH41" s="212">
        <v>8</v>
      </c>
      <c r="AI41" s="212">
        <v>2</v>
      </c>
      <c r="AJ41" s="212">
        <v>119</v>
      </c>
      <c r="AK41" s="212">
        <v>6</v>
      </c>
      <c r="AL41" s="212">
        <v>14</v>
      </c>
      <c r="AM41" s="201">
        <v>1</v>
      </c>
      <c r="AN41" s="201" t="s">
        <v>692</v>
      </c>
      <c r="AO41" s="201">
        <v>60000</v>
      </c>
      <c r="AP41" s="212">
        <v>4508</v>
      </c>
      <c r="AQ41" s="212">
        <v>4096</v>
      </c>
      <c r="AR41" s="201">
        <v>6</v>
      </c>
      <c r="AS41" s="201">
        <v>0</v>
      </c>
    </row>
    <row r="42" spans="2:45" ht="40.5" hidden="1">
      <c r="B42" s="157" t="s">
        <v>1146</v>
      </c>
      <c r="C42" s="158" t="s">
        <v>218</v>
      </c>
      <c r="D42" s="158">
        <v>8</v>
      </c>
      <c r="E42" s="159">
        <f>B10</f>
        <v>8</v>
      </c>
      <c r="F42" s="160" t="s">
        <v>594</v>
      </c>
      <c r="G42" s="151"/>
      <c r="H42" s="156" t="s">
        <v>1147</v>
      </c>
      <c r="I42" s="175" t="s">
        <v>251</v>
      </c>
      <c r="J42" s="179" t="s">
        <v>1148</v>
      </c>
      <c r="K42" s="180">
        <f>MAX(K45,K46,K47,K48)+K53</f>
        <v>172430</v>
      </c>
      <c r="L42" s="156" t="s">
        <v>478</v>
      </c>
      <c r="M42" s="166"/>
      <c r="N42" s="157" t="s">
        <v>1149</v>
      </c>
      <c r="O42" s="158" t="s">
        <v>1149</v>
      </c>
      <c r="P42" s="158" t="s">
        <v>1145</v>
      </c>
      <c r="Q42" s="183">
        <f>VLOOKUP(D38,$T$39:$AT$49,14,FALSE)</f>
        <v>152</v>
      </c>
      <c r="R42" s="184" t="s">
        <v>704</v>
      </c>
      <c r="S42" s="166"/>
      <c r="T42" s="201" t="s">
        <v>1205</v>
      </c>
      <c r="U42" s="201" t="s">
        <v>1206</v>
      </c>
      <c r="V42" s="201">
        <v>60</v>
      </c>
      <c r="W42" s="201">
        <v>50</v>
      </c>
      <c r="X42" s="202">
        <v>1</v>
      </c>
      <c r="Y42" s="202">
        <v>4</v>
      </c>
      <c r="Z42" s="202">
        <v>140</v>
      </c>
      <c r="AA42" s="202">
        <v>4</v>
      </c>
      <c r="AB42" s="201">
        <v>4480</v>
      </c>
      <c r="AC42" s="201">
        <v>1</v>
      </c>
      <c r="AD42" s="201">
        <v>4480</v>
      </c>
      <c r="AE42" s="201">
        <v>2224</v>
      </c>
      <c r="AF42" s="212">
        <f>ROUNDUP(AG42/$Q$41*1000,0)+ROUNDUP(7*$K$41,0)</f>
        <v>173280</v>
      </c>
      <c r="AG42" s="212">
        <f>IF(E42=8,152,304)</f>
        <v>152</v>
      </c>
      <c r="AH42" s="212">
        <v>8</v>
      </c>
      <c r="AI42" s="212">
        <v>2</v>
      </c>
      <c r="AJ42" s="212">
        <v>119</v>
      </c>
      <c r="AK42" s="212">
        <v>6</v>
      </c>
      <c r="AL42" s="212">
        <v>14</v>
      </c>
      <c r="AM42" s="201">
        <v>1</v>
      </c>
      <c r="AN42" s="201" t="s">
        <v>692</v>
      </c>
      <c r="AO42" s="201">
        <v>60000</v>
      </c>
      <c r="AP42" s="212">
        <v>4200</v>
      </c>
      <c r="AQ42" s="212">
        <v>2160</v>
      </c>
      <c r="AR42" s="201">
        <v>13</v>
      </c>
      <c r="AS42" s="201">
        <v>1</v>
      </c>
    </row>
    <row r="43" spans="2:45" ht="27" hidden="1">
      <c r="B43" s="760" t="s">
        <v>214</v>
      </c>
      <c r="C43" s="761"/>
      <c r="D43" s="761"/>
      <c r="E43" s="761"/>
      <c r="F43" s="762"/>
      <c r="G43" s="151"/>
      <c r="H43" s="156" t="s">
        <v>1150</v>
      </c>
      <c r="I43" s="175" t="s">
        <v>252</v>
      </c>
      <c r="J43" s="179" t="s">
        <v>1151</v>
      </c>
      <c r="K43" s="181">
        <f>1000000/K42</f>
        <v>5.7994548512439827</v>
      </c>
      <c r="L43" s="156" t="s">
        <v>488</v>
      </c>
      <c r="M43" s="166"/>
      <c r="N43" s="157" t="s">
        <v>1152</v>
      </c>
      <c r="O43" s="158" t="s">
        <v>299</v>
      </c>
      <c r="P43" s="158" t="s">
        <v>1145</v>
      </c>
      <c r="Q43" s="183">
        <f>VLOOKUP(D38,$T$39:$AT$49,13,FALSE)</f>
        <v>115520</v>
      </c>
      <c r="R43" s="184" t="s">
        <v>461</v>
      </c>
      <c r="S43" s="166"/>
      <c r="T43" s="201" t="s">
        <v>1201</v>
      </c>
      <c r="U43" s="201" t="s">
        <v>1207</v>
      </c>
      <c r="V43" s="201">
        <v>60</v>
      </c>
      <c r="W43" s="201">
        <v>50</v>
      </c>
      <c r="X43" s="202">
        <v>1</v>
      </c>
      <c r="Y43" s="202">
        <v>4</v>
      </c>
      <c r="Z43" s="202">
        <v>100</v>
      </c>
      <c r="AA43" s="202">
        <v>4</v>
      </c>
      <c r="AB43" s="201">
        <v>2800</v>
      </c>
      <c r="AC43" s="201">
        <v>1</v>
      </c>
      <c r="AD43" s="201">
        <v>2800</v>
      </c>
      <c r="AE43" s="201">
        <v>2224</v>
      </c>
      <c r="AF43" s="212">
        <f>ROUNDUP(AG43/$Q$41*1000,0)+ROUNDUP(7*$K$41,0)</f>
        <v>173280</v>
      </c>
      <c r="AG43" s="212">
        <f>IF(E42=8,152,304)</f>
        <v>152</v>
      </c>
      <c r="AH43" s="212">
        <v>5</v>
      </c>
      <c r="AI43" s="212">
        <v>2</v>
      </c>
      <c r="AJ43" s="212">
        <v>119</v>
      </c>
      <c r="AK43" s="212">
        <v>6</v>
      </c>
      <c r="AL43" s="212">
        <v>14</v>
      </c>
      <c r="AM43" s="201">
        <v>1</v>
      </c>
      <c r="AN43" s="201" t="s">
        <v>692</v>
      </c>
      <c r="AO43" s="201">
        <v>40000</v>
      </c>
      <c r="AP43" s="212">
        <v>2600</v>
      </c>
      <c r="AQ43" s="212">
        <v>2160</v>
      </c>
      <c r="AR43" s="201">
        <v>21</v>
      </c>
      <c r="AS43" s="201">
        <v>1</v>
      </c>
    </row>
    <row r="44" spans="2:45" ht="13.5" hidden="1" customHeight="1">
      <c r="B44" s="157" t="s">
        <v>805</v>
      </c>
      <c r="C44" s="158" t="s">
        <v>214</v>
      </c>
      <c r="D44" s="158">
        <f>VLOOKUP(D38,$T$39:$AS$49,22,FALSE)</f>
        <v>60000</v>
      </c>
      <c r="E44" s="159">
        <f>B8</f>
        <v>60000</v>
      </c>
      <c r="F44" s="161" t="s">
        <v>478</v>
      </c>
      <c r="G44" s="151"/>
      <c r="H44" s="760" t="s">
        <v>510</v>
      </c>
      <c r="I44" s="761"/>
      <c r="J44" s="761"/>
      <c r="K44" s="761"/>
      <c r="L44" s="762"/>
      <c r="M44" s="166"/>
      <c r="N44" s="157" t="s">
        <v>1153</v>
      </c>
      <c r="O44" s="158" t="s">
        <v>1154</v>
      </c>
      <c r="P44" s="158" t="s">
        <v>1145</v>
      </c>
      <c r="Q44" s="183">
        <f>VLOOKUP(D38,$T$39:$AT$49,15,FALSE)</f>
        <v>8</v>
      </c>
      <c r="R44" s="184" t="s">
        <v>594</v>
      </c>
      <c r="S44" s="166"/>
      <c r="T44" s="59"/>
      <c r="U44" s="59"/>
      <c r="V44" s="59"/>
      <c r="W44" s="59"/>
      <c r="X44" s="59"/>
      <c r="Y44" s="59"/>
      <c r="Z44" s="59"/>
      <c r="AA44" s="59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</row>
    <row r="45" spans="2:45" ht="54" hidden="1">
      <c r="B45" s="157" t="s">
        <v>800</v>
      </c>
      <c r="C45" s="158" t="s">
        <v>216</v>
      </c>
      <c r="D45" s="158">
        <v>0</v>
      </c>
      <c r="E45" s="159">
        <f>B9</f>
        <v>0</v>
      </c>
      <c r="F45" s="161" t="s">
        <v>478</v>
      </c>
      <c r="G45" s="151"/>
      <c r="H45" s="156" t="s">
        <v>516</v>
      </c>
      <c r="I45" s="175" t="s">
        <v>517</v>
      </c>
      <c r="J45" s="179" t="s">
        <v>1155</v>
      </c>
      <c r="K45" s="180">
        <f>ROUNDUP(((E52+Q45+Q50)*K41+Q43)/1000,0)</f>
        <v>100096</v>
      </c>
      <c r="L45" s="182" t="s">
        <v>478</v>
      </c>
      <c r="M45" s="166"/>
      <c r="N45" s="157" t="s">
        <v>629</v>
      </c>
      <c r="O45" s="158" t="s">
        <v>630</v>
      </c>
      <c r="P45" s="158" t="s">
        <v>1145</v>
      </c>
      <c r="Q45" s="183">
        <f>VLOOKUP(D38,$T$39:$AT$49,19,FALSE)</f>
        <v>14</v>
      </c>
      <c r="R45" s="203" t="s">
        <v>469</v>
      </c>
      <c r="S45" s="166"/>
      <c r="T45" s="59"/>
      <c r="U45" s="59"/>
      <c r="V45" s="59"/>
      <c r="W45" s="59"/>
      <c r="X45" s="59"/>
      <c r="Y45" s="59"/>
      <c r="Z45" s="59"/>
      <c r="AA45" s="59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</row>
    <row r="46" spans="2:45" ht="27" hidden="1">
      <c r="B46" s="760" t="s">
        <v>747</v>
      </c>
      <c r="C46" s="761"/>
      <c r="D46" s="761"/>
      <c r="E46" s="761"/>
      <c r="F46" s="762"/>
      <c r="G46" s="151"/>
      <c r="H46" s="156" t="s">
        <v>522</v>
      </c>
      <c r="I46" s="175" t="s">
        <v>523</v>
      </c>
      <c r="J46" s="179" t="s">
        <v>1156</v>
      </c>
      <c r="K46" s="180">
        <f>ROUNDUP(E44-Q47/Q41+Q46*K41/1000+E45+Q43/1000,0)</f>
        <v>60162</v>
      </c>
      <c r="L46" s="182" t="s">
        <v>478</v>
      </c>
      <c r="M46" s="166"/>
      <c r="N46" s="157" t="s">
        <v>1157</v>
      </c>
      <c r="O46" s="158" t="s">
        <v>1158</v>
      </c>
      <c r="P46" s="158" t="s">
        <v>1145</v>
      </c>
      <c r="Q46" s="183">
        <f>VLOOKUP(D38,$T$39:$AT$49,16,FALSE)</f>
        <v>2</v>
      </c>
      <c r="R46" s="203" t="s">
        <v>469</v>
      </c>
      <c r="S46" s="166"/>
      <c r="T46" s="59"/>
      <c r="U46" s="59"/>
      <c r="V46" s="59"/>
      <c r="W46" s="59"/>
      <c r="X46" s="59"/>
      <c r="Y46" s="59"/>
      <c r="Z46" s="78"/>
      <c r="AA46" s="59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</row>
    <row r="47" spans="2:45" ht="27" hidden="1">
      <c r="B47" s="157" t="s">
        <v>1159</v>
      </c>
      <c r="C47" s="158" t="s">
        <v>503</v>
      </c>
      <c r="D47" s="158">
        <v>0</v>
      </c>
      <c r="E47" s="159">
        <v>0</v>
      </c>
      <c r="F47" s="160" t="s">
        <v>478</v>
      </c>
      <c r="G47" s="151"/>
      <c r="H47" s="157" t="s">
        <v>534</v>
      </c>
      <c r="I47" s="158" t="s">
        <v>535</v>
      </c>
      <c r="J47" s="158" t="s">
        <v>1160</v>
      </c>
      <c r="K47" s="183">
        <f>ROUNDUP((1000000/E62)*E61,0)</f>
        <v>0</v>
      </c>
      <c r="L47" s="184" t="s">
        <v>478</v>
      </c>
      <c r="M47" s="166"/>
      <c r="N47" s="157" t="s">
        <v>1161</v>
      </c>
      <c r="O47" s="158" t="s">
        <v>1162</v>
      </c>
      <c r="P47" s="158" t="s">
        <v>1145</v>
      </c>
      <c r="Q47" s="183">
        <f>VLOOKUP(D38,$T$39:$AT$49,17,FALSE)</f>
        <v>119</v>
      </c>
      <c r="R47" s="184" t="s">
        <v>1163</v>
      </c>
      <c r="S47" s="166"/>
      <c r="T47" s="204"/>
      <c r="U47" s="204"/>
      <c r="V47" s="204"/>
      <c r="W47" s="204"/>
      <c r="X47" s="204"/>
      <c r="Y47" s="204"/>
      <c r="Z47" s="213"/>
      <c r="AA47" s="213"/>
      <c r="AB47" s="166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</row>
    <row r="48" spans="2:45" ht="27" hidden="1">
      <c r="B48" s="760" t="s">
        <v>753</v>
      </c>
      <c r="C48" s="761"/>
      <c r="D48" s="761"/>
      <c r="E48" s="761"/>
      <c r="F48" s="762"/>
      <c r="G48" s="151"/>
      <c r="H48" s="157" t="s">
        <v>540</v>
      </c>
      <c r="I48" s="163" t="s">
        <v>417</v>
      </c>
      <c r="J48" s="179" t="s">
        <v>978</v>
      </c>
      <c r="K48" s="183">
        <f>Q80</f>
        <v>172430</v>
      </c>
      <c r="L48" s="184" t="s">
        <v>478</v>
      </c>
      <c r="M48" s="166"/>
      <c r="N48" s="157" t="s">
        <v>1164</v>
      </c>
      <c r="O48" s="158" t="s">
        <v>1165</v>
      </c>
      <c r="P48" s="158" t="s">
        <v>1145</v>
      </c>
      <c r="Q48" s="183">
        <f>VLOOKUP(D38,$T$39:$AT$49,18,FALSE)</f>
        <v>6</v>
      </c>
      <c r="R48" s="184" t="s">
        <v>469</v>
      </c>
      <c r="S48" s="166"/>
      <c r="T48" s="204"/>
      <c r="U48" s="205"/>
      <c r="V48" s="205"/>
      <c r="W48" s="205"/>
      <c r="X48" s="205"/>
      <c r="Y48" s="205"/>
      <c r="Z48" s="214"/>
      <c r="AA48" s="214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</row>
    <row r="49" spans="2:45" hidden="1">
      <c r="B49" s="157" t="s">
        <v>757</v>
      </c>
      <c r="C49" s="158" t="s">
        <v>758</v>
      </c>
      <c r="D49" s="158">
        <v>0</v>
      </c>
      <c r="E49" s="159">
        <v>0</v>
      </c>
      <c r="F49" s="160" t="s">
        <v>704</v>
      </c>
      <c r="G49" s="151"/>
      <c r="H49" s="760" t="s">
        <v>729</v>
      </c>
      <c r="I49" s="761"/>
      <c r="J49" s="761"/>
      <c r="K49" s="761"/>
      <c r="L49" s="762"/>
      <c r="M49" s="166"/>
      <c r="N49" s="157" t="s">
        <v>1212</v>
      </c>
      <c r="O49" s="158" t="s">
        <v>1213</v>
      </c>
      <c r="P49" s="158" t="s">
        <v>1145</v>
      </c>
      <c r="Q49" s="206">
        <f>VLOOKUP(D38,$T$39:$AT$49,26,FALSE)</f>
        <v>0</v>
      </c>
      <c r="R49" s="684" t="s">
        <v>594</v>
      </c>
      <c r="S49" s="166"/>
      <c r="T49" s="204"/>
      <c r="U49" s="205"/>
      <c r="V49" s="205"/>
      <c r="W49" s="205"/>
      <c r="X49" s="205"/>
      <c r="Y49" s="205"/>
      <c r="Z49" s="214"/>
      <c r="AA49" s="214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</row>
    <row r="50" spans="2:45" ht="40.5" hidden="1">
      <c r="B50" s="162" t="s">
        <v>760</v>
      </c>
      <c r="C50" s="163" t="s">
        <v>761</v>
      </c>
      <c r="D50" s="163">
        <v>0</v>
      </c>
      <c r="E50" s="164">
        <v>0</v>
      </c>
      <c r="F50" s="161" t="s">
        <v>704</v>
      </c>
      <c r="G50" s="151"/>
      <c r="H50" s="162" t="s">
        <v>805</v>
      </c>
      <c r="I50" s="163" t="s">
        <v>1168</v>
      </c>
      <c r="J50" s="163" t="s">
        <v>1169</v>
      </c>
      <c r="K50" s="180">
        <f>ROUNDUP((1000*E44-1000*Q47/Q41)/1000,0)</f>
        <v>59998</v>
      </c>
      <c r="L50" s="182" t="s">
        <v>478</v>
      </c>
      <c r="M50" s="166"/>
      <c r="N50" s="157" t="s">
        <v>1166</v>
      </c>
      <c r="O50" s="158" t="s">
        <v>1167</v>
      </c>
      <c r="P50" s="158" t="s">
        <v>1145</v>
      </c>
      <c r="Q50" s="183">
        <f>VLOOKUP(D38,$T$39:$AT$49,20,FALSE)</f>
        <v>1</v>
      </c>
      <c r="R50" s="184" t="s">
        <v>469</v>
      </c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</row>
    <row r="51" spans="2:45" ht="27" hidden="1">
      <c r="B51" s="162" t="s">
        <v>202</v>
      </c>
      <c r="C51" s="163" t="s">
        <v>203</v>
      </c>
      <c r="D51" s="163">
        <f>VLOOKUP(D38,$T$39:$AS$49,23,FALSE)</f>
        <v>4508</v>
      </c>
      <c r="E51" s="164">
        <f>B4</f>
        <v>4508</v>
      </c>
      <c r="F51" s="161" t="s">
        <v>704</v>
      </c>
      <c r="G51" s="151"/>
      <c r="H51" s="162" t="s">
        <v>1170</v>
      </c>
      <c r="I51" s="163" t="s">
        <v>743</v>
      </c>
      <c r="J51" s="163" t="s">
        <v>484</v>
      </c>
      <c r="K51" s="180">
        <f>E45</f>
        <v>0</v>
      </c>
      <c r="L51" s="185" t="s">
        <v>469</v>
      </c>
      <c r="M51" s="166"/>
      <c r="N51" s="760" t="s">
        <v>799</v>
      </c>
      <c r="O51" s="761"/>
      <c r="P51" s="761"/>
      <c r="Q51" s="761"/>
      <c r="R51" s="762"/>
      <c r="S51" s="17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</row>
    <row r="52" spans="2:45" ht="94.5" hidden="1">
      <c r="B52" s="162" t="s">
        <v>204</v>
      </c>
      <c r="C52" s="163" t="s">
        <v>205</v>
      </c>
      <c r="D52" s="163">
        <f>VLOOKUP(D38,$T$39:$AS$49,24,FALSE)</f>
        <v>4096</v>
      </c>
      <c r="E52" s="164">
        <f>B5</f>
        <v>4096</v>
      </c>
      <c r="F52" s="161" t="s">
        <v>704</v>
      </c>
      <c r="G52" s="151"/>
      <c r="H52" s="162" t="s">
        <v>1171</v>
      </c>
      <c r="I52" s="163" t="s">
        <v>1172</v>
      </c>
      <c r="J52" s="163" t="s">
        <v>1173</v>
      </c>
      <c r="K52" s="186">
        <f>IF(Q49=1,IF((MAX(K45,K46,K47,K48)-K50)&lt;K45,(IF((MAX(K45,K46,K47,K48)-K50)&gt;=(K45-ROUNDUP(6*K41/1000,0)),1,0)),0),0)</f>
        <v>0</v>
      </c>
      <c r="L52" s="185" t="s">
        <v>594</v>
      </c>
      <c r="M52" s="166"/>
      <c r="N52" s="152" t="s">
        <v>444</v>
      </c>
      <c r="O52" s="153" t="s">
        <v>438</v>
      </c>
      <c r="P52" s="153" t="s">
        <v>447</v>
      </c>
      <c r="Q52" s="153" t="s">
        <v>688</v>
      </c>
      <c r="R52" s="197" t="s">
        <v>449</v>
      </c>
      <c r="S52" s="17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</row>
    <row r="53" spans="2:45" ht="40.5" hidden="1">
      <c r="B53" s="760" t="s">
        <v>571</v>
      </c>
      <c r="C53" s="761"/>
      <c r="D53" s="761"/>
      <c r="E53" s="761"/>
      <c r="F53" s="762"/>
      <c r="G53" s="151"/>
      <c r="H53" s="162" t="s">
        <v>1174</v>
      </c>
      <c r="I53" s="163" t="s">
        <v>1175</v>
      </c>
      <c r="J53" s="163" t="s">
        <v>1176</v>
      </c>
      <c r="K53" s="186">
        <f>IF(K52=1,K45-(MAX(K45,K46,K47,K48)-K50),0)</f>
        <v>0</v>
      </c>
      <c r="L53" s="185" t="s">
        <v>478</v>
      </c>
      <c r="M53" s="166"/>
      <c r="N53" s="157" t="s">
        <v>386</v>
      </c>
      <c r="O53" s="158" t="s">
        <v>452</v>
      </c>
      <c r="P53" s="158" t="s">
        <v>453</v>
      </c>
      <c r="Q53" s="183">
        <v>7</v>
      </c>
      <c r="R53" s="184" t="s">
        <v>454</v>
      </c>
      <c r="S53" s="17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</row>
    <row r="54" spans="2:45" hidden="1">
      <c r="B54" s="162" t="s">
        <v>779</v>
      </c>
      <c r="C54" s="163" t="s">
        <v>372</v>
      </c>
      <c r="D54" s="165">
        <v>0</v>
      </c>
      <c r="E54" s="164">
        <v>0</v>
      </c>
      <c r="F54" s="161" t="s">
        <v>594</v>
      </c>
      <c r="G54" s="151"/>
      <c r="H54" s="760" t="s">
        <v>366</v>
      </c>
      <c r="I54" s="761"/>
      <c r="J54" s="761"/>
      <c r="K54" s="761"/>
      <c r="L54" s="762"/>
      <c r="M54" s="166"/>
      <c r="N54" s="157" t="s">
        <v>387</v>
      </c>
      <c r="O54" s="158" t="s">
        <v>462</v>
      </c>
      <c r="P54" s="158" t="s">
        <v>463</v>
      </c>
      <c r="Q54" s="183">
        <v>1</v>
      </c>
      <c r="R54" s="184" t="s">
        <v>454</v>
      </c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</row>
    <row r="55" spans="2:45" ht="40.5" hidden="1">
      <c r="B55" s="760" t="s">
        <v>789</v>
      </c>
      <c r="C55" s="761"/>
      <c r="D55" s="761"/>
      <c r="E55" s="761"/>
      <c r="F55" s="762"/>
      <c r="G55" s="151"/>
      <c r="H55" s="162" t="s">
        <v>400</v>
      </c>
      <c r="I55" s="163" t="s">
        <v>762</v>
      </c>
      <c r="J55" s="163" t="s">
        <v>763</v>
      </c>
      <c r="K55" s="187">
        <f>K43*Q69</f>
        <v>107085588.35469465</v>
      </c>
      <c r="L55" s="188" t="s">
        <v>764</v>
      </c>
      <c r="M55" s="166"/>
      <c r="N55" s="157" t="s">
        <v>388</v>
      </c>
      <c r="O55" s="158" t="s">
        <v>470</v>
      </c>
      <c r="P55" s="158" t="s">
        <v>471</v>
      </c>
      <c r="Q55" s="183">
        <v>14</v>
      </c>
      <c r="R55" s="184" t="s">
        <v>454</v>
      </c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</row>
    <row r="56" spans="2:45" ht="27" hidden="1">
      <c r="B56" s="162" t="s">
        <v>230</v>
      </c>
      <c r="C56" s="163" t="s">
        <v>796</v>
      </c>
      <c r="D56" s="165" t="s">
        <v>594</v>
      </c>
      <c r="E56" s="164">
        <f>B16</f>
        <v>1000</v>
      </c>
      <c r="F56" s="161" t="s">
        <v>797</v>
      </c>
      <c r="G56" s="166"/>
      <c r="H56" s="167" t="s">
        <v>401</v>
      </c>
      <c r="I56" s="189" t="s">
        <v>767</v>
      </c>
      <c r="J56" s="163" t="s">
        <v>768</v>
      </c>
      <c r="K56" s="180">
        <f>K43*Q76</f>
        <v>111620796.84509656</v>
      </c>
      <c r="L56" s="188" t="s">
        <v>764</v>
      </c>
      <c r="M56" s="166"/>
      <c r="N56" s="157" t="s">
        <v>389</v>
      </c>
      <c r="O56" s="158" t="s">
        <v>479</v>
      </c>
      <c r="P56" s="158" t="s">
        <v>480</v>
      </c>
      <c r="Q56" s="183">
        <v>20</v>
      </c>
      <c r="R56" s="184" t="s">
        <v>454</v>
      </c>
      <c r="S56" s="166"/>
      <c r="T56" s="748" t="s">
        <v>531</v>
      </c>
      <c r="U56" s="749"/>
      <c r="V56" s="749"/>
      <c r="W56" s="749"/>
      <c r="X56" s="750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</row>
    <row r="57" spans="2:45" ht="81" hidden="1">
      <c r="B57" s="162" t="s">
        <v>803</v>
      </c>
      <c r="C57" s="163" t="s">
        <v>221</v>
      </c>
      <c r="D57" s="165">
        <v>1500</v>
      </c>
      <c r="E57" s="164">
        <f>B11</f>
        <v>1500</v>
      </c>
      <c r="F57" s="161" t="s">
        <v>454</v>
      </c>
      <c r="G57" s="166"/>
      <c r="H57" s="167" t="s">
        <v>402</v>
      </c>
      <c r="I57" s="189" t="s">
        <v>772</v>
      </c>
      <c r="J57" s="163" t="s">
        <v>773</v>
      </c>
      <c r="K57" s="180">
        <f>1250*E56*(100-E59)</f>
        <v>112500000</v>
      </c>
      <c r="L57" s="188" t="s">
        <v>764</v>
      </c>
      <c r="M57" s="166"/>
      <c r="N57" s="157" t="s">
        <v>390</v>
      </c>
      <c r="O57" s="158" t="s">
        <v>489</v>
      </c>
      <c r="P57" s="158" t="s">
        <v>490</v>
      </c>
      <c r="Q57" s="183">
        <v>8</v>
      </c>
      <c r="R57" s="184" t="s">
        <v>454</v>
      </c>
      <c r="S57" s="166"/>
      <c r="T57" s="152" t="s">
        <v>1177</v>
      </c>
      <c r="U57" s="153" t="s">
        <v>1178</v>
      </c>
      <c r="V57" s="153" t="s">
        <v>438</v>
      </c>
      <c r="W57" s="153" t="s">
        <v>447</v>
      </c>
      <c r="X57" s="154" t="s">
        <v>777</v>
      </c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</row>
    <row r="58" spans="2:45" ht="54" hidden="1">
      <c r="B58" s="162" t="str">
        <f>"流通道包间隔(不包括12B最小值的部分) 
范围:0-"&amp;K59</f>
        <v>流通道包间隔(不包括12B最小值的部分) 
范围:0-87641</v>
      </c>
      <c r="C58" s="163" t="s">
        <v>223</v>
      </c>
      <c r="D58" s="165">
        <v>0</v>
      </c>
      <c r="E58" s="164">
        <f>B12</f>
        <v>0</v>
      </c>
      <c r="F58" s="161" t="s">
        <v>454</v>
      </c>
      <c r="G58" s="166"/>
      <c r="H58" s="760" t="s">
        <v>600</v>
      </c>
      <c r="I58" s="761"/>
      <c r="J58" s="761"/>
      <c r="K58" s="761"/>
      <c r="L58" s="762"/>
      <c r="M58" s="166"/>
      <c r="N58" s="157" t="s">
        <v>391</v>
      </c>
      <c r="O58" s="158" t="s">
        <v>494</v>
      </c>
      <c r="P58" s="158" t="s">
        <v>490</v>
      </c>
      <c r="Q58" s="183">
        <v>8</v>
      </c>
      <c r="R58" s="184" t="s">
        <v>454</v>
      </c>
      <c r="S58" s="166"/>
      <c r="T58" s="207" t="s">
        <v>1179</v>
      </c>
      <c r="U58" s="163" t="s">
        <v>1100</v>
      </c>
      <c r="V58" s="208" t="s">
        <v>1180</v>
      </c>
      <c r="W58" s="158" t="s">
        <v>800</v>
      </c>
      <c r="X58" s="188" t="str">
        <f>DEC2HEX(K51)</f>
        <v>0</v>
      </c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</row>
    <row r="59" spans="2:45" ht="175.5" hidden="1">
      <c r="B59" s="162" t="str">
        <f>"预留带宽 
范围:0-"&amp;K61</f>
        <v>预留带宽 
范围:0-98</v>
      </c>
      <c r="C59" s="163" t="s">
        <v>233</v>
      </c>
      <c r="D59" s="165">
        <v>10</v>
      </c>
      <c r="E59" s="164">
        <f>B17</f>
        <v>10</v>
      </c>
      <c r="F59" s="161" t="s">
        <v>614</v>
      </c>
      <c r="G59" s="166"/>
      <c r="H59" s="167" t="s">
        <v>403</v>
      </c>
      <c r="I59" s="190" t="s">
        <v>780</v>
      </c>
      <c r="J59" s="163" t="s">
        <v>1181</v>
      </c>
      <c r="K59" s="180">
        <f>IF((ROUNDDOWN((Q79-(Q74+Q75+Q76))/(Q70+Q72+2),0)-12)&lt;IF(E56=100,18000,180000),ROUNDDOWN((Q79-(Q74+Q75+Q76))/(Q70+Q72+2),0)-12,IF(E56=100,18000,180000))</f>
        <v>87641</v>
      </c>
      <c r="L59" s="188" t="s">
        <v>454</v>
      </c>
      <c r="M59" s="166"/>
      <c r="N59" s="157" t="s">
        <v>392</v>
      </c>
      <c r="O59" s="158" t="s">
        <v>498</v>
      </c>
      <c r="P59" s="158" t="s">
        <v>499</v>
      </c>
      <c r="Q59" s="183">
        <v>4</v>
      </c>
      <c r="R59" s="184" t="s">
        <v>454</v>
      </c>
      <c r="S59" s="166"/>
      <c r="T59" s="209" t="s">
        <v>1182</v>
      </c>
      <c r="U59" s="163" t="s">
        <v>925</v>
      </c>
      <c r="V59" s="208" t="s">
        <v>1183</v>
      </c>
      <c r="W59" s="158" t="s">
        <v>805</v>
      </c>
      <c r="X59" s="210" t="str">
        <f>DEC2HEX(K50)</f>
        <v>EA5E</v>
      </c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</row>
    <row r="60" spans="2:45" ht="54" hidden="1">
      <c r="B60" s="760" t="s">
        <v>552</v>
      </c>
      <c r="C60" s="761"/>
      <c r="D60" s="761"/>
      <c r="E60" s="761"/>
      <c r="F60" s="762"/>
      <c r="G60" s="166"/>
      <c r="H60" s="760" t="s">
        <v>609</v>
      </c>
      <c r="I60" s="761"/>
      <c r="J60" s="761"/>
      <c r="K60" s="761"/>
      <c r="L60" s="762"/>
      <c r="M60" s="166"/>
      <c r="N60" s="157" t="s">
        <v>331</v>
      </c>
      <c r="O60" s="158" t="s">
        <v>330</v>
      </c>
      <c r="P60" s="158" t="s">
        <v>504</v>
      </c>
      <c r="Q60" s="183">
        <v>12</v>
      </c>
      <c r="R60" s="184" t="s">
        <v>454</v>
      </c>
      <c r="S60" s="166"/>
      <c r="T60" s="209" t="s">
        <v>1184</v>
      </c>
      <c r="U60" s="163" t="s">
        <v>927</v>
      </c>
      <c r="V60" s="208" t="s">
        <v>1185</v>
      </c>
      <c r="W60" s="175" t="s">
        <v>1147</v>
      </c>
      <c r="X60" s="210" t="str">
        <f>DEC2HEX(MAX(K45,K46,K47,K48))</f>
        <v>2A18E</v>
      </c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</row>
    <row r="61" spans="2:45" ht="81" hidden="1">
      <c r="B61" s="157" t="s">
        <v>824</v>
      </c>
      <c r="C61" s="158" t="s">
        <v>558</v>
      </c>
      <c r="D61" s="158">
        <v>0</v>
      </c>
      <c r="E61" s="159">
        <f>B15</f>
        <v>0</v>
      </c>
      <c r="F61" s="160" t="s">
        <v>594</v>
      </c>
      <c r="G61" s="166"/>
      <c r="H61" s="168" t="s">
        <v>404</v>
      </c>
      <c r="I61" s="191" t="s">
        <v>609</v>
      </c>
      <c r="J61" s="192" t="s">
        <v>1208</v>
      </c>
      <c r="K61" s="193">
        <f>IF((100-ROUNDDOWN(10*Q78/(125000*E56),0)-1)&lt;0,0,(100-ROUNDDOWN(10*Q78/(125000*E56),0)-1))</f>
        <v>98</v>
      </c>
      <c r="L61" s="194" t="s">
        <v>614</v>
      </c>
      <c r="M61" s="166"/>
      <c r="N61" s="157" t="s">
        <v>341</v>
      </c>
      <c r="O61" s="163" t="s">
        <v>511</v>
      </c>
      <c r="P61" s="158" t="s">
        <v>512</v>
      </c>
      <c r="Q61" s="183">
        <f>Q56+Q57+Q58</f>
        <v>36</v>
      </c>
      <c r="R61" s="184" t="s">
        <v>454</v>
      </c>
      <c r="S61" s="166"/>
      <c r="T61" s="209" t="s">
        <v>1186</v>
      </c>
      <c r="U61" s="163" t="s">
        <v>1187</v>
      </c>
      <c r="V61" s="208" t="s">
        <v>1188</v>
      </c>
      <c r="W61" s="175" t="s">
        <v>1147</v>
      </c>
      <c r="X61" s="210" t="str">
        <f>DEC2HEX(MAX(K45,K46,K47))</f>
        <v>18700</v>
      </c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</row>
    <row r="62" spans="2:45" ht="54" hidden="1">
      <c r="B62" s="169" t="s">
        <v>552</v>
      </c>
      <c r="C62" s="170" t="s">
        <v>565</v>
      </c>
      <c r="D62" s="171">
        <f>VLOOKUP(D38,$T$39:$AS$49,25,FALSE)</f>
        <v>6</v>
      </c>
      <c r="E62" s="172">
        <f>B14</f>
        <v>6</v>
      </c>
      <c r="F62" s="173" t="s">
        <v>488</v>
      </c>
      <c r="G62" s="174"/>
      <c r="H62" s="174"/>
      <c r="I62" s="174"/>
      <c r="J62" s="174"/>
      <c r="K62" s="174"/>
      <c r="L62" s="174"/>
      <c r="M62" s="174"/>
      <c r="N62" s="157" t="s">
        <v>343</v>
      </c>
      <c r="O62" s="163" t="s">
        <v>519</v>
      </c>
      <c r="P62" s="158" t="s">
        <v>520</v>
      </c>
      <c r="Q62" s="183">
        <f>Q53+Q54+Q55+Q59</f>
        <v>26</v>
      </c>
      <c r="R62" s="184" t="s">
        <v>454</v>
      </c>
      <c r="S62" s="174"/>
      <c r="T62" s="209" t="s">
        <v>1189</v>
      </c>
      <c r="U62" s="163" t="s">
        <v>1190</v>
      </c>
      <c r="V62" s="208" t="s">
        <v>1191</v>
      </c>
      <c r="W62" s="158" t="s">
        <v>516</v>
      </c>
      <c r="X62" s="210" t="str">
        <f>DEC2HEX(K45)</f>
        <v>18700</v>
      </c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  <c r="AS62" s="174"/>
    </row>
    <row r="63" spans="2:45" ht="40.5" hidden="1">
      <c r="B63" s="760" t="s">
        <v>1192</v>
      </c>
      <c r="C63" s="761"/>
      <c r="D63" s="761"/>
      <c r="E63" s="761"/>
      <c r="F63" s="762"/>
      <c r="G63" s="174"/>
      <c r="H63" s="166"/>
      <c r="I63" s="166"/>
      <c r="J63" s="166"/>
      <c r="K63" s="166"/>
      <c r="L63" s="166"/>
      <c r="M63" s="174"/>
      <c r="N63" s="157" t="s">
        <v>345</v>
      </c>
      <c r="O63" s="158" t="s">
        <v>344</v>
      </c>
      <c r="P63" s="158" t="s">
        <v>525</v>
      </c>
      <c r="Q63" s="183">
        <f>64-Q55-Q59-Q61</f>
        <v>10</v>
      </c>
      <c r="R63" s="184" t="s">
        <v>454</v>
      </c>
      <c r="S63" s="174"/>
      <c r="T63" s="207" t="s">
        <v>1193</v>
      </c>
      <c r="U63" s="163" t="s">
        <v>1194</v>
      </c>
      <c r="V63" s="208" t="s">
        <v>1209</v>
      </c>
      <c r="W63" s="158" t="s">
        <v>1210</v>
      </c>
      <c r="X63" s="188" t="str">
        <f>DEC2HEX(IF(Q49=1,ROUNDUP(6*K41/1000,0),0))</f>
        <v>0</v>
      </c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4"/>
      <c r="AK63" s="174"/>
      <c r="AL63" s="174"/>
      <c r="AM63" s="174"/>
      <c r="AN63" s="174"/>
      <c r="AO63" s="174"/>
      <c r="AP63" s="174"/>
      <c r="AQ63" s="174"/>
      <c r="AR63" s="174"/>
      <c r="AS63" s="174"/>
    </row>
    <row r="64" spans="2:45" ht="27" hidden="1">
      <c r="B64" s="157" t="s">
        <v>852</v>
      </c>
      <c r="C64" s="175" t="s">
        <v>853</v>
      </c>
      <c r="D64" s="158">
        <v>1</v>
      </c>
      <c r="E64" s="159">
        <f>B6</f>
        <v>1</v>
      </c>
      <c r="F64" s="160" t="s">
        <v>594</v>
      </c>
      <c r="G64" s="166"/>
      <c r="H64" s="166"/>
      <c r="I64" s="166"/>
      <c r="J64" s="166"/>
      <c r="K64" s="166"/>
      <c r="L64" s="166"/>
      <c r="M64" s="166"/>
      <c r="N64" s="760" t="s">
        <v>868</v>
      </c>
      <c r="O64" s="761"/>
      <c r="P64" s="761"/>
      <c r="Q64" s="761"/>
      <c r="R64" s="762"/>
      <c r="S64" s="166"/>
      <c r="T64" s="211" t="s">
        <v>829</v>
      </c>
      <c r="U64" s="163" t="s">
        <v>1103</v>
      </c>
      <c r="V64" s="163" t="s">
        <v>831</v>
      </c>
      <c r="W64" s="163" t="s">
        <v>594</v>
      </c>
      <c r="X64" s="210" t="s">
        <v>832</v>
      </c>
      <c r="Y64" s="174"/>
      <c r="Z64" s="174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</row>
    <row r="65" spans="2:45" ht="67.5" hidden="1">
      <c r="B65" s="220" t="s">
        <v>858</v>
      </c>
      <c r="C65" s="221" t="s">
        <v>859</v>
      </c>
      <c r="D65" s="222">
        <v>1</v>
      </c>
      <c r="E65" s="159">
        <f>B7</f>
        <v>1</v>
      </c>
      <c r="F65" s="223" t="s">
        <v>594</v>
      </c>
      <c r="G65" s="166"/>
      <c r="H65" s="166"/>
      <c r="I65" s="166"/>
      <c r="J65" s="166"/>
      <c r="K65" s="166"/>
      <c r="L65" s="166"/>
      <c r="M65" s="166"/>
      <c r="N65" s="152" t="s">
        <v>444</v>
      </c>
      <c r="O65" s="153" t="s">
        <v>438</v>
      </c>
      <c r="P65" s="153" t="s">
        <v>447</v>
      </c>
      <c r="Q65" s="153" t="s">
        <v>688</v>
      </c>
      <c r="R65" s="197" t="s">
        <v>449</v>
      </c>
      <c r="S65" s="166"/>
      <c r="T65" s="227" t="s">
        <v>864</v>
      </c>
      <c r="U65" s="228" t="s">
        <v>1197</v>
      </c>
      <c r="V65" s="228" t="s">
        <v>865</v>
      </c>
      <c r="W65" s="222" t="s">
        <v>1198</v>
      </c>
      <c r="X65" s="194" t="str">
        <f>DEC2HEX(ROUNDUP(K41*Q41/1000,0)-E51/VLOOKUP(D38,$T$39:$AS$49,5,FALSE)/VLOOKUP(D38,$T$39:$AS$49,6,FALSE))</f>
        <v>59</v>
      </c>
      <c r="Y65" s="174"/>
      <c r="Z65" s="174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</row>
    <row r="66" spans="2:45" ht="27" hidden="1">
      <c r="B66" s="867" t="s">
        <v>272</v>
      </c>
      <c r="C66" s="868"/>
      <c r="D66" s="868"/>
      <c r="E66" s="868"/>
      <c r="F66" s="869"/>
      <c r="G66" s="166"/>
      <c r="H66" s="166"/>
      <c r="I66" s="166"/>
      <c r="J66" s="166"/>
      <c r="K66" s="166"/>
      <c r="L66" s="166"/>
      <c r="M66" s="166"/>
      <c r="N66" s="157" t="s">
        <v>393</v>
      </c>
      <c r="O66" s="163" t="s">
        <v>1124</v>
      </c>
      <c r="P66" s="158" t="s">
        <v>543</v>
      </c>
      <c r="Q66" s="183">
        <f>36</f>
        <v>36</v>
      </c>
      <c r="R66" s="184" t="s">
        <v>454</v>
      </c>
      <c r="S66" s="166"/>
      <c r="T66" s="174"/>
      <c r="U66" s="174"/>
      <c r="V66" s="174"/>
      <c r="W66" s="174"/>
      <c r="X66" s="174"/>
      <c r="Y66" s="174"/>
      <c r="Z66" s="174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</row>
    <row r="67" spans="2:45" ht="40.5" hidden="1">
      <c r="B67" s="224" t="s">
        <v>252</v>
      </c>
      <c r="C67" s="870" t="s">
        <v>407</v>
      </c>
      <c r="D67" s="871"/>
      <c r="E67" s="872">
        <f>K43</f>
        <v>5.7994548512439827</v>
      </c>
      <c r="F67" s="873"/>
      <c r="G67" s="166"/>
      <c r="H67" s="166"/>
      <c r="I67" s="166"/>
      <c r="J67" s="166"/>
      <c r="K67" s="166"/>
      <c r="L67" s="166"/>
      <c r="M67" s="166"/>
      <c r="N67" s="157" t="s">
        <v>394</v>
      </c>
      <c r="O67" s="163" t="s">
        <v>877</v>
      </c>
      <c r="P67" s="158" t="s">
        <v>548</v>
      </c>
      <c r="Q67" s="183">
        <v>10</v>
      </c>
      <c r="R67" s="184" t="s">
        <v>454</v>
      </c>
      <c r="S67" s="166"/>
      <c r="T67" s="174"/>
      <c r="U67" s="174"/>
      <c r="V67" s="174"/>
      <c r="W67" s="174"/>
      <c r="X67" s="174"/>
      <c r="Y67" s="166"/>
      <c r="Z67" s="166"/>
      <c r="AA67" s="174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</row>
    <row r="68" spans="2:45" ht="27" hidden="1">
      <c r="B68" s="174"/>
      <c r="C68" s="174"/>
      <c r="D68" s="174"/>
      <c r="E68" s="174"/>
      <c r="F68" s="174"/>
      <c r="G68" s="166"/>
      <c r="H68" s="174"/>
      <c r="I68" s="174"/>
      <c r="J68" s="174"/>
      <c r="K68" s="174"/>
      <c r="L68" s="174"/>
      <c r="M68" s="166"/>
      <c r="N68" s="162" t="s">
        <v>337</v>
      </c>
      <c r="O68" s="163" t="s">
        <v>884</v>
      </c>
      <c r="P68" s="163" t="s">
        <v>885</v>
      </c>
      <c r="Q68" s="187">
        <f>E51*E52*IF(E42=8,1,2)</f>
        <v>18464768</v>
      </c>
      <c r="R68" s="184" t="s">
        <v>454</v>
      </c>
      <c r="S68" s="166"/>
      <c r="T68" s="166"/>
      <c r="U68" s="166"/>
      <c r="V68" s="166"/>
      <c r="W68" s="166"/>
      <c r="X68" s="166"/>
      <c r="Y68" s="166"/>
      <c r="Z68" s="166"/>
      <c r="AA68" s="174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</row>
    <row r="69" spans="2:45" ht="27" hidden="1"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57" t="s">
        <v>339</v>
      </c>
      <c r="O69" s="163" t="s">
        <v>886</v>
      </c>
      <c r="P69" s="163" t="s">
        <v>887</v>
      </c>
      <c r="Q69" s="229">
        <f>Q68+32*E54</f>
        <v>18464768</v>
      </c>
      <c r="R69" s="184" t="s">
        <v>454</v>
      </c>
      <c r="S69" s="174"/>
      <c r="T69" s="166"/>
      <c r="U69" s="166"/>
      <c r="V69" s="166"/>
      <c r="W69" s="166"/>
      <c r="X69" s="166"/>
      <c r="Y69" s="166"/>
      <c r="Z69" s="166"/>
      <c r="AA69" s="174"/>
      <c r="AB69" s="174"/>
      <c r="AC69" s="174"/>
      <c r="AD69" s="174"/>
      <c r="AE69" s="174"/>
      <c r="AF69" s="174"/>
      <c r="AG69" s="174"/>
      <c r="AH69" s="174"/>
      <c r="AI69" s="174"/>
      <c r="AJ69" s="174"/>
      <c r="AK69" s="174"/>
      <c r="AL69" s="174"/>
      <c r="AM69" s="174"/>
      <c r="AN69" s="174"/>
      <c r="AO69" s="174"/>
      <c r="AP69" s="174"/>
      <c r="AQ69" s="174"/>
      <c r="AR69" s="174"/>
      <c r="AS69" s="174"/>
    </row>
    <row r="70" spans="2:45" ht="40.5" hidden="1"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57" t="s">
        <v>347</v>
      </c>
      <c r="O70" s="163" t="s">
        <v>346</v>
      </c>
      <c r="P70" s="158" t="s">
        <v>570</v>
      </c>
      <c r="Q70" s="230">
        <f>INT(Q69/(E57-Q61))</f>
        <v>12612</v>
      </c>
      <c r="R70" s="184"/>
      <c r="S70" s="174"/>
      <c r="T70" s="166"/>
      <c r="U70" s="166"/>
      <c r="V70" s="166"/>
      <c r="W70" s="166"/>
      <c r="X70" s="166"/>
      <c r="Y70" s="166"/>
      <c r="Z70" s="166"/>
      <c r="AA70" s="166"/>
      <c r="AB70" s="174"/>
      <c r="AC70" s="174"/>
      <c r="AD70" s="174"/>
      <c r="AE70" s="174"/>
      <c r="AF70" s="174"/>
      <c r="AG70" s="174"/>
      <c r="AH70" s="174"/>
      <c r="AI70" s="174"/>
      <c r="AJ70" s="174"/>
      <c r="AK70" s="174"/>
      <c r="AL70" s="174"/>
      <c r="AM70" s="174"/>
      <c r="AN70" s="174"/>
      <c r="AO70" s="174"/>
      <c r="AP70" s="174"/>
      <c r="AQ70" s="174"/>
      <c r="AR70" s="174"/>
      <c r="AS70" s="174"/>
    </row>
    <row r="71" spans="2:45" ht="54" hidden="1">
      <c r="B71" s="166"/>
      <c r="C71" s="166"/>
      <c r="D71" s="166"/>
      <c r="E71" s="166"/>
      <c r="F71" s="166"/>
      <c r="G71" s="174"/>
      <c r="H71" s="166"/>
      <c r="I71" s="166"/>
      <c r="J71" s="166"/>
      <c r="K71" s="166"/>
      <c r="L71" s="166"/>
      <c r="M71" s="174"/>
      <c r="N71" s="157" t="s">
        <v>349</v>
      </c>
      <c r="O71" s="163" t="s">
        <v>888</v>
      </c>
      <c r="P71" s="158" t="s">
        <v>577</v>
      </c>
      <c r="Q71" s="230">
        <f>Q69-(E57-Q61)*Q70</f>
        <v>800</v>
      </c>
      <c r="R71" s="184" t="s">
        <v>454</v>
      </c>
      <c r="S71" s="174"/>
      <c r="T71" s="166"/>
      <c r="U71" s="166"/>
      <c r="V71" s="166"/>
      <c r="W71" s="166"/>
      <c r="X71" s="166"/>
      <c r="Y71" s="166"/>
      <c r="Z71" s="166"/>
      <c r="AA71" s="166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74"/>
      <c r="AP71" s="174"/>
      <c r="AQ71" s="174"/>
      <c r="AR71" s="174"/>
      <c r="AS71" s="174"/>
    </row>
    <row r="72" spans="2:45" ht="27" hidden="1"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56" t="s">
        <v>348</v>
      </c>
      <c r="O72" s="179" t="s">
        <v>245</v>
      </c>
      <c r="P72" s="175" t="s">
        <v>1199</v>
      </c>
      <c r="Q72" s="183">
        <f>IF(MOD(Q68,(E57-Q61))=0,0,1)</f>
        <v>1</v>
      </c>
      <c r="R72" s="184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</row>
    <row r="73" spans="2:45" ht="54" hidden="1"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57" t="s">
        <v>351</v>
      </c>
      <c r="O73" s="163" t="s">
        <v>889</v>
      </c>
      <c r="P73" s="175" t="s">
        <v>584</v>
      </c>
      <c r="Q73" s="230">
        <f>IF(Q71&lt;Q63,Q63,Q71)</f>
        <v>800</v>
      </c>
      <c r="R73" s="184" t="s">
        <v>454</v>
      </c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</row>
    <row r="74" spans="2:45" ht="27" hidden="1"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56" t="s">
        <v>353</v>
      </c>
      <c r="O74" s="179" t="s">
        <v>890</v>
      </c>
      <c r="P74" s="175" t="s">
        <v>586</v>
      </c>
      <c r="Q74" s="230">
        <f>Q62+Q61+Q66</f>
        <v>98</v>
      </c>
      <c r="R74" s="184" t="s">
        <v>454</v>
      </c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</row>
    <row r="75" spans="2:45" ht="27" hidden="1">
      <c r="B75" s="166"/>
      <c r="C75" s="166"/>
      <c r="D75" s="166"/>
      <c r="E75" s="166"/>
      <c r="F75" s="166"/>
      <c r="G75" s="166"/>
      <c r="H75" s="166"/>
      <c r="I75" s="166"/>
      <c r="J75" s="151"/>
      <c r="K75" s="166"/>
      <c r="L75" s="166"/>
      <c r="M75" s="166"/>
      <c r="N75" s="156" t="s">
        <v>355</v>
      </c>
      <c r="O75" s="179" t="s">
        <v>891</v>
      </c>
      <c r="P75" s="175" t="s">
        <v>892</v>
      </c>
      <c r="Q75" s="230">
        <f>Q62+Q61+Q67</f>
        <v>72</v>
      </c>
      <c r="R75" s="184" t="s">
        <v>454</v>
      </c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</row>
    <row r="76" spans="2:45" ht="81" hidden="1"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56" t="s">
        <v>357</v>
      </c>
      <c r="O76" s="179" t="s">
        <v>246</v>
      </c>
      <c r="P76" s="175" t="s">
        <v>893</v>
      </c>
      <c r="Q76" s="230">
        <f>Q70*(E57+Q62)+Q72*(Q73+Q62+Q61)</f>
        <v>19246774</v>
      </c>
      <c r="R76" s="184" t="s">
        <v>454</v>
      </c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</row>
    <row r="77" spans="2:45" ht="54" hidden="1"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225" t="s">
        <v>358</v>
      </c>
      <c r="O77" s="179" t="s">
        <v>894</v>
      </c>
      <c r="P77" s="179" t="s">
        <v>895</v>
      </c>
      <c r="Q77" s="231">
        <f>(2+Q72+Q70)*(Q60+E58)</f>
        <v>151380</v>
      </c>
      <c r="R77" s="188" t="s">
        <v>454</v>
      </c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</row>
    <row r="78" spans="2:45" ht="40.5" hidden="1"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2" t="s">
        <v>359</v>
      </c>
      <c r="O78" s="163" t="s">
        <v>896</v>
      </c>
      <c r="P78" s="163" t="s">
        <v>607</v>
      </c>
      <c r="Q78" s="187">
        <f>Q74+Q75+Q76+Q77</f>
        <v>19398324</v>
      </c>
      <c r="R78" s="188" t="s">
        <v>454</v>
      </c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</row>
    <row r="79" spans="2:45" ht="27" hidden="1"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225" t="s">
        <v>361</v>
      </c>
      <c r="O79" s="179" t="s">
        <v>360</v>
      </c>
      <c r="P79" s="179" t="s">
        <v>897</v>
      </c>
      <c r="Q79" s="180">
        <f>INT(1000000*E56*(100-E59)/80)</f>
        <v>1125000000</v>
      </c>
      <c r="R79" s="232" t="s">
        <v>898</v>
      </c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</row>
    <row r="80" spans="2:45" ht="40.5" hidden="1">
      <c r="H80" s="166"/>
      <c r="I80" s="166"/>
      <c r="J80" s="166"/>
      <c r="K80" s="166"/>
      <c r="L80" s="166"/>
      <c r="N80" s="226" t="s">
        <v>363</v>
      </c>
      <c r="O80" s="192" t="s">
        <v>362</v>
      </c>
      <c r="P80" s="192" t="s">
        <v>1200</v>
      </c>
      <c r="Q80" s="193">
        <f>ROUNDUP(Q78*1000000/Q79,0)*10</f>
        <v>172430</v>
      </c>
      <c r="R80" s="233" t="s">
        <v>478</v>
      </c>
    </row>
    <row r="81" spans="8:18" hidden="1">
      <c r="H81" s="166"/>
      <c r="I81" s="166"/>
      <c r="J81" s="166"/>
      <c r="K81" s="166"/>
      <c r="L81" s="166"/>
    </row>
    <row r="82" spans="8:18" hidden="1">
      <c r="N82" s="148"/>
      <c r="O82" s="148"/>
      <c r="P82" s="148"/>
      <c r="Q82" s="148"/>
      <c r="R82" s="148"/>
    </row>
    <row r="83" spans="8:18" hidden="1">
      <c r="N83" s="148"/>
      <c r="O83" s="148"/>
      <c r="P83" s="148"/>
      <c r="Q83" s="148"/>
      <c r="R83" s="148"/>
    </row>
    <row r="84" spans="8:18">
      <c r="N84" s="148"/>
      <c r="O84" s="148"/>
      <c r="P84" s="148"/>
      <c r="Q84" s="148"/>
      <c r="R84" s="148"/>
    </row>
    <row r="85" spans="8:18">
      <c r="N85" s="148"/>
      <c r="O85" s="148"/>
      <c r="P85" s="148"/>
      <c r="Q85" s="148"/>
      <c r="R85" s="148"/>
    </row>
    <row r="86" spans="8:18">
      <c r="N86" s="148"/>
      <c r="O86" s="148"/>
      <c r="P86" s="148"/>
      <c r="Q86" s="148"/>
      <c r="R86" s="148"/>
    </row>
    <row r="87" spans="8:18">
      <c r="N87" s="148"/>
      <c r="O87" s="148"/>
      <c r="P87" s="148"/>
      <c r="Q87" s="148"/>
      <c r="R87" s="148"/>
    </row>
    <row r="88" spans="8:18">
      <c r="N88" s="148"/>
      <c r="O88" s="148"/>
      <c r="P88" s="148"/>
      <c r="Q88" s="148"/>
      <c r="R88" s="148"/>
    </row>
    <row r="89" spans="8:18">
      <c r="N89" s="148"/>
      <c r="O89" s="148"/>
      <c r="P89" s="148"/>
      <c r="Q89" s="148"/>
      <c r="R89" s="148"/>
    </row>
    <row r="90" spans="8:18">
      <c r="N90" s="148"/>
      <c r="O90" s="148"/>
      <c r="P90" s="148"/>
      <c r="Q90" s="148"/>
      <c r="R90" s="148"/>
    </row>
    <row r="91" spans="8:18">
      <c r="N91" s="148"/>
      <c r="O91" s="148"/>
      <c r="P91" s="148"/>
      <c r="Q91" s="148"/>
      <c r="R91" s="148"/>
    </row>
    <row r="92" spans="8:18">
      <c r="N92" s="148"/>
      <c r="O92" s="148"/>
      <c r="P92" s="148"/>
      <c r="Q92" s="148"/>
      <c r="R92" s="148"/>
    </row>
    <row r="93" spans="8:18">
      <c r="N93" s="148"/>
      <c r="O93" s="148"/>
      <c r="P93" s="148"/>
      <c r="Q93" s="148"/>
      <c r="R93" s="148"/>
    </row>
  </sheetData>
  <sheetProtection algorithmName="SHA-512" hashValue="Hbw5fytiWBZD7UF4Q6t5Z9JQIfQLBcBxdE1GJNGJVQS20/E0xW+6bQPtLmGaeDDPMRe3jZaVXnsnefdfW0MKIw==" saltValue="3bOwyLw75JvUw7B5Ij4ZDQ==" spinCount="100000" sheet="1" objects="1" selectLockedCells="1"/>
  <mergeCells count="25">
    <mergeCell ref="H38:L38"/>
    <mergeCell ref="N38:R38"/>
    <mergeCell ref="T38:AS38"/>
    <mergeCell ref="B39:F39"/>
    <mergeCell ref="H39:L39"/>
    <mergeCell ref="N39:R39"/>
    <mergeCell ref="B41:F41"/>
    <mergeCell ref="B43:F43"/>
    <mergeCell ref="H44:L44"/>
    <mergeCell ref="B46:F46"/>
    <mergeCell ref="B48:F48"/>
    <mergeCell ref="H49:L49"/>
    <mergeCell ref="N51:R51"/>
    <mergeCell ref="B53:F53"/>
    <mergeCell ref="H54:L54"/>
    <mergeCell ref="B55:F55"/>
    <mergeCell ref="N64:R64"/>
    <mergeCell ref="B66:F66"/>
    <mergeCell ref="C67:D67"/>
    <mergeCell ref="E67:F67"/>
    <mergeCell ref="T56:X56"/>
    <mergeCell ref="H58:L58"/>
    <mergeCell ref="B60:F60"/>
    <mergeCell ref="H60:L60"/>
    <mergeCell ref="B63:F63"/>
  </mergeCells>
  <phoneticPr fontId="37" type="noConversion"/>
  <dataValidations count="31">
    <dataValidation type="custom" allowBlank="1" showInputMessage="1" showErrorMessage="1" errorTitle="Input parameter error" error="Input range is 1 or 2." sqref="B6:B7">
      <formula1>OR((B6=1),(B6=2))</formula1>
    </dataValidation>
    <dataValidation allowBlank="1" showErrorMessage="1" promptTitle="参数变化" prompt="该参数会根据当前生效的水平像素Binning、水平像素抽样变化" sqref="B2"/>
    <dataValidation allowBlank="1" showInputMessage="1" showErrorMessage="1" error="输入范围是64~1024，步长为2" sqref="A1:B1"/>
    <dataValidation allowBlank="1" showErrorMessage="1" promptTitle="参数变化" prompt="该参数会根据当前生效的垂直像素Binning、垂直像素抽样变化" sqref="B3"/>
    <dataValidation type="custom" allowBlank="1" showInputMessage="1" showErrorMessage="1" errorTitle="Input parameter error" error="Input 8 or 12." sqref="B10">
      <formula1>OR((B10=8),(B10=12))</formula1>
    </dataValidation>
    <dataValidation type="whole" allowBlank="1" showInputMessage="1" showErrorMessage="1" error="The input range: [0,5000]" sqref="B9">
      <formula1>0</formula1>
      <formula2>5000</formula2>
    </dataValidation>
    <dataValidation type="custom" allowBlank="1" showInputMessage="1" showErrorMessage="1" errorTitle="Input parameter error" error="Input range from 4 to WidthMax, and is an integer multiple of 4." sqref="B4">
      <formula1>AND((B4&lt;=B2),(B4&gt;=4),(MOD(B4,4)=0))</formula1>
    </dataValidation>
    <dataValidation type="custom" allowBlank="1" showInputMessage="1" showErrorMessage="1" errorTitle="Input parameter error" error="Input range from 2 to HeightMax, and is an integer multiple of 2." sqref="B5">
      <formula1>AND((B5&lt;=B3),(B5&gt;=2),(MOD(B5,2)=0))</formula1>
    </dataValidation>
    <dataValidation type="whole" allowBlank="1" showInputMessage="1" showErrorMessage="1" errorTitle="Input parameter error" error="Input range is 0 to GevSCPDMaxValue." sqref="B12">
      <formula1>0</formula1>
      <formula2>B13</formula2>
    </dataValidation>
    <dataValidation type="whole" allowBlank="1" showInputMessage="1" showErrorMessage="1" errorTitle="Input parameter error" error="Input range from 14 to 1000000." sqref="B8">
      <formula1>14</formula1>
      <formula2>1000000</formula2>
    </dataValidation>
    <dataValidation type="custom" allowBlank="1" showInputMessage="1" showErrorMessage="1" errorTitle="Input parameter error" error="Input range is 512~8192, step is 4." sqref="B11">
      <formula1>AND((B11&lt;=8192),(B11&gt;=512),(MOD(B11,4)=0))</formula1>
    </dataValidation>
    <dataValidation type="list" allowBlank="1" showInputMessage="1" showErrorMessage="1" sqref="E54">
      <formula1>"0,1"</formula1>
    </dataValidation>
    <dataValidation type="custom" allowBlank="1" showInputMessage="1" showErrorMessage="1" errorTitle="Input parameter error" error="Input range from 0.1 to 10000, step 0.1." sqref="B14">
      <formula1>AND(TRUNC(B14,1)=B14,(B14&gt;=0.1),(B14&lt;=10000))</formula1>
    </dataValidation>
    <dataValidation type="list" allowBlank="1" showInputMessage="1" showErrorMessage="1" errorTitle="Input parameter error" error="Please input 0 or 1." sqref="B15">
      <formula1>"0,1"</formula1>
    </dataValidation>
    <dataValidation type="whole" allowBlank="1" showInputMessage="1" showErrorMessage="1" errorTitle="输入数值非法" error="最小值2，最大值D13" sqref="E52">
      <formula1>2</formula1>
      <formula2>D52</formula2>
    </dataValidation>
    <dataValidation type="custom" allowBlank="1" showInputMessage="1" showErrorMessage="1" errorTitle="Input parameter error" error="Please input 1000 or 100." sqref="B16">
      <formula1>OR((B16=1000),(B16=100))</formula1>
    </dataValidation>
    <dataValidation type="whole" allowBlank="1" showInputMessage="1" showErrorMessage="1" errorTitle="Input parameter error" error="Input range is 0 to BandwidthReserveMaxValue, and is an integer multiple of 1." sqref="B17">
      <formula1>0</formula1>
      <formula2>B18</formula2>
    </dataValidation>
    <dataValidation type="list" allowBlank="1" showInputMessage="1" showErrorMessage="1" sqref="D38">
      <formula1>$T$40:$T$43</formula1>
    </dataValidation>
    <dataValidation type="list" allowBlank="1" showInputMessage="1" showErrorMessage="1" sqref="E42">
      <formula1>"8,12"</formula1>
    </dataValidation>
    <dataValidation type="whole" allowBlank="1" showInputMessage="1" showErrorMessage="1" errorTitle="超出范围" error="曝光时间的范围是14us-1s" sqref="E44">
      <formula1>14</formula1>
      <formula2>1000000</formula2>
    </dataValidation>
    <dataValidation type="whole" allowBlank="1" showInputMessage="1" showErrorMessage="1" errorTitle="超出范围" error="曝光延迟的范围是0-5000us" sqref="E45">
      <formula1>0</formula1>
      <formula2>5000</formula2>
    </dataValidation>
    <dataValidation type="whole" allowBlank="1" showInputMessage="1" showErrorMessage="1" errorTitle="超出范围" error="触发延时的范围是0-3000000us" sqref="E47">
      <formula1>0</formula1>
      <formula2>3000000</formula2>
    </dataValidation>
    <dataValidation type="whole" allowBlank="1" showInputMessage="1" showErrorMessage="1" errorTitle="输入数值非法" error="最小值4，最大值D12" sqref="E51">
      <formula1>4</formula1>
      <formula2>D51</formula2>
    </dataValidation>
    <dataValidation type="list" allowBlank="1" showInputMessage="1" showErrorMessage="1" sqref="E56">
      <formula1>"1000,100"</formula1>
    </dataValidation>
    <dataValidation type="custom" allowBlank="1" showInputMessage="1" showErrorMessage="1" sqref="E57">
      <formula1>AND(MOD(E57,4)=0,E57&gt;=512,E57&lt;=16384)</formula1>
    </dataValidation>
    <dataValidation type="whole" allowBlank="1" showInputMessage="1" showErrorMessage="1" errorTitle="设置值超出范围" error="包间隔设置值超出范围" sqref="E58">
      <formula1>0</formula1>
      <formula2>K59</formula2>
    </dataValidation>
    <dataValidation type="whole" allowBlank="1" showInputMessage="1" showErrorMessage="1" errorTitle="设置值超出范围" error="预留带宽设置值超出范围" sqref="E59">
      <formula1>0</formula1>
      <formula2>K61</formula2>
    </dataValidation>
    <dataValidation type="list" allowBlank="1" showInputMessage="1" showErrorMessage="1" errorTitle="超出范围" error="0:关闭_x000a_1:打开" sqref="E61">
      <formula1>"0,1"</formula1>
    </dataValidation>
    <dataValidation type="decimal" allowBlank="1" showInputMessage="1" showErrorMessage="1" sqref="E62">
      <formula1>0.1</formula1>
      <formula2>10000</formula2>
    </dataValidation>
    <dataValidation type="whole" errorStyle="information" operator="lessThanOrEqual" allowBlank="1" showErrorMessage="1" error="设置水平Binning/Skipping时，需要同步修改水平ROI" sqref="E64">
      <formula1>1</formula1>
    </dataValidation>
    <dataValidation type="whole" errorStyle="information" operator="lessThanOrEqual" allowBlank="1" showErrorMessage="1" error="设置垂直Binning/Skipping时，需要同步修改垂直ROI" sqref="E65">
      <formula1>1</formula1>
    </dataValidation>
  </dataValidation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opLeftCell="B1" workbookViewId="0">
      <selection activeCell="C17" sqref="C17"/>
    </sheetView>
  </sheetViews>
  <sheetFormatPr defaultColWidth="9" defaultRowHeight="13.5"/>
  <cols>
    <col min="1" max="1" width="15.5" hidden="1" customWidth="1"/>
    <col min="2" max="2" width="30.875" customWidth="1"/>
    <col min="3" max="3" width="18.625" customWidth="1"/>
    <col min="4" max="4" width="10.5" customWidth="1"/>
    <col min="9" max="9" width="9" customWidth="1"/>
    <col min="10" max="10" width="9" hidden="1" customWidth="1"/>
    <col min="11" max="15" width="9" customWidth="1"/>
  </cols>
  <sheetData>
    <row r="1" spans="1:4">
      <c r="A1" s="104" t="s">
        <v>197</v>
      </c>
      <c r="B1" s="104"/>
      <c r="C1" s="107"/>
    </row>
    <row r="2" spans="1:4">
      <c r="A2" s="104" t="s">
        <v>198</v>
      </c>
      <c r="B2" s="104" t="s">
        <v>199</v>
      </c>
      <c r="C2" s="104">
        <v>5496</v>
      </c>
    </row>
    <row r="3" spans="1:4">
      <c r="A3" s="104" t="s">
        <v>200</v>
      </c>
      <c r="B3" s="104" t="s">
        <v>201</v>
      </c>
      <c r="C3" s="104">
        <f>C56</f>
        <v>3672</v>
      </c>
    </row>
    <row r="4" spans="1:4">
      <c r="A4" s="104" t="s">
        <v>202</v>
      </c>
      <c r="B4" s="104" t="s">
        <v>203</v>
      </c>
      <c r="C4" s="107">
        <v>5496</v>
      </c>
      <c r="D4" s="105" t="str">
        <f>IF(OR(C4&gt;C2,C4&lt;64),J70,"")</f>
        <v/>
      </c>
    </row>
    <row r="5" spans="1:4">
      <c r="A5" s="104" t="s">
        <v>204</v>
      </c>
      <c r="B5" s="104" t="s">
        <v>205</v>
      </c>
      <c r="C5" s="107">
        <v>3672</v>
      </c>
      <c r="D5" s="105" t="str">
        <f>IF(OR(C5&gt;C3,C5&lt;64),J71,"")</f>
        <v/>
      </c>
    </row>
    <row r="6" spans="1:4" hidden="1">
      <c r="A6" s="104" t="s">
        <v>206</v>
      </c>
      <c r="B6" s="104" t="s">
        <v>207</v>
      </c>
      <c r="C6" s="107">
        <v>1</v>
      </c>
    </row>
    <row r="7" spans="1:4" hidden="1">
      <c r="A7" s="104" t="s">
        <v>208</v>
      </c>
      <c r="B7" s="104" t="s">
        <v>209</v>
      </c>
      <c r="C7" s="107">
        <v>1</v>
      </c>
    </row>
    <row r="8" spans="1:4" hidden="1">
      <c r="A8" s="104" t="s">
        <v>210</v>
      </c>
      <c r="B8" s="104" t="s">
        <v>211</v>
      </c>
      <c r="C8" s="107">
        <v>1</v>
      </c>
    </row>
    <row r="9" spans="1:4" hidden="1">
      <c r="A9" s="104" t="s">
        <v>212</v>
      </c>
      <c r="B9" s="104" t="s">
        <v>213</v>
      </c>
      <c r="C9" s="107">
        <v>1</v>
      </c>
    </row>
    <row r="10" spans="1:4">
      <c r="A10" s="104" t="s">
        <v>214</v>
      </c>
      <c r="B10" s="104" t="s">
        <v>215</v>
      </c>
      <c r="C10" s="107">
        <v>60000</v>
      </c>
    </row>
    <row r="11" spans="1:4" hidden="1">
      <c r="A11" s="104" t="s">
        <v>216</v>
      </c>
      <c r="B11" s="104" t="s">
        <v>217</v>
      </c>
      <c r="C11" s="107">
        <v>0</v>
      </c>
    </row>
    <row r="12" spans="1:4">
      <c r="A12" s="104" t="s">
        <v>218</v>
      </c>
      <c r="B12" s="104" t="s">
        <v>219</v>
      </c>
      <c r="C12" s="107">
        <v>8</v>
      </c>
    </row>
    <row r="13" spans="1:4">
      <c r="A13" s="104" t="s">
        <v>220</v>
      </c>
      <c r="B13" s="104" t="s">
        <v>221</v>
      </c>
      <c r="C13" s="107">
        <v>1500</v>
      </c>
    </row>
    <row r="14" spans="1:4">
      <c r="A14" s="104" t="s">
        <v>222</v>
      </c>
      <c r="B14" s="104" t="s">
        <v>223</v>
      </c>
      <c r="C14" s="107">
        <v>0</v>
      </c>
    </row>
    <row r="15" spans="1:4">
      <c r="A15" s="104" t="s">
        <v>224</v>
      </c>
      <c r="B15" s="104" t="s">
        <v>225</v>
      </c>
      <c r="C15" s="104">
        <f>C44</f>
        <v>80054</v>
      </c>
    </row>
    <row r="16" spans="1:4">
      <c r="A16" s="104" t="s">
        <v>226</v>
      </c>
      <c r="B16" s="104" t="s">
        <v>227</v>
      </c>
      <c r="C16" s="107">
        <v>5.3</v>
      </c>
    </row>
    <row r="17" spans="1:3">
      <c r="A17" s="104" t="s">
        <v>228</v>
      </c>
      <c r="B17" s="104" t="s">
        <v>229</v>
      </c>
      <c r="C17" s="107">
        <v>0</v>
      </c>
    </row>
    <row r="18" spans="1:3">
      <c r="A18" s="104" t="s">
        <v>230</v>
      </c>
      <c r="B18" s="104" t="s">
        <v>231</v>
      </c>
      <c r="C18" s="107">
        <v>1000</v>
      </c>
    </row>
    <row r="19" spans="1:3">
      <c r="A19" s="104" t="s">
        <v>232</v>
      </c>
      <c r="B19" s="104" t="s">
        <v>233</v>
      </c>
      <c r="C19" s="107">
        <v>10</v>
      </c>
    </row>
    <row r="20" spans="1:3">
      <c r="A20" s="104" t="s">
        <v>234</v>
      </c>
      <c r="B20" s="104" t="s">
        <v>235</v>
      </c>
      <c r="C20" s="104">
        <f>C48</f>
        <v>98</v>
      </c>
    </row>
    <row r="21" spans="1:3">
      <c r="A21" s="104" t="s">
        <v>280</v>
      </c>
      <c r="B21" s="104" t="s">
        <v>281</v>
      </c>
      <c r="C21" s="107">
        <v>0</v>
      </c>
    </row>
    <row r="22" spans="1:3">
      <c r="A22" s="117"/>
      <c r="B22" s="104"/>
      <c r="C22" s="104"/>
    </row>
    <row r="23" spans="1:3" hidden="1">
      <c r="A23" s="117" t="s">
        <v>259</v>
      </c>
      <c r="B23" s="104"/>
      <c r="C23" s="133">
        <v>31000</v>
      </c>
    </row>
    <row r="24" spans="1:3" hidden="1">
      <c r="A24" s="117" t="s">
        <v>236</v>
      </c>
      <c r="B24" s="104"/>
      <c r="C24" s="110">
        <f>C16*10</f>
        <v>53</v>
      </c>
    </row>
    <row r="25" spans="1:3" hidden="1">
      <c r="A25" s="117" t="s">
        <v>237</v>
      </c>
      <c r="B25" s="110"/>
      <c r="C25" s="110">
        <f>33+MAX(MAX(C5,1848)+38-33,2+17)</f>
        <v>3710</v>
      </c>
    </row>
    <row r="26" spans="1:3" hidden="1">
      <c r="A26" s="117" t="s">
        <v>238</v>
      </c>
      <c r="B26" s="110"/>
      <c r="C26" s="110">
        <f>MAX(ROUNDUP(((1000*C10)/C23),0),1)</f>
        <v>1936</v>
      </c>
    </row>
    <row r="27" spans="1:3" hidden="1">
      <c r="A27" s="117" t="s">
        <v>239</v>
      </c>
      <c r="B27" s="110"/>
      <c r="C27" s="110">
        <f>ROUNDDOWN(C11*1000/C23,0)</f>
        <v>0</v>
      </c>
    </row>
    <row r="28" spans="1:3" hidden="1">
      <c r="A28" s="117" t="s">
        <v>240</v>
      </c>
      <c r="B28" s="110"/>
      <c r="C28" s="110">
        <f>C26+C27+8</f>
        <v>1944</v>
      </c>
    </row>
    <row r="29" spans="1:3" hidden="1">
      <c r="A29" s="117" t="s">
        <v>313</v>
      </c>
      <c r="B29" s="110"/>
      <c r="C29" s="110">
        <v>1200</v>
      </c>
    </row>
    <row r="30" spans="1:3" hidden="1">
      <c r="A30" s="117" t="s">
        <v>241</v>
      </c>
      <c r="B30" s="110"/>
      <c r="C30" s="110">
        <v>0</v>
      </c>
    </row>
    <row r="31" spans="1:3" hidden="1">
      <c r="A31" s="117" t="s">
        <v>242</v>
      </c>
      <c r="B31" s="110"/>
      <c r="C31" s="134">
        <f>C4*C5*IF(C12=8,1,2)+C30*32</f>
        <v>20181312</v>
      </c>
    </row>
    <row r="32" spans="1:3" hidden="1">
      <c r="A32" s="117" t="s">
        <v>243</v>
      </c>
      <c r="B32" s="110"/>
      <c r="C32" s="110">
        <f>ROUNDDOWN((C4*C5*ROUNDUP(C12/8,0)+C30*36)/(C13-36),0)</f>
        <v>13785</v>
      </c>
    </row>
    <row r="33" spans="1:4" hidden="1">
      <c r="A33" s="117" t="s">
        <v>332</v>
      </c>
      <c r="B33" s="110"/>
      <c r="C33" s="110">
        <f>IF(C30=0,36,12)</f>
        <v>36</v>
      </c>
    </row>
    <row r="34" spans="1:4" hidden="1">
      <c r="A34" s="117" t="s">
        <v>244</v>
      </c>
      <c r="B34" s="110"/>
      <c r="C34" s="110">
        <f>C4*C5*ROUNDUP(C12/8,0)+C30*32-(C13-36)*C32</f>
        <v>72</v>
      </c>
    </row>
    <row r="35" spans="1:4" hidden="1">
      <c r="A35" s="110" t="s">
        <v>249</v>
      </c>
      <c r="B35" s="110"/>
      <c r="C35" s="110">
        <f>ROUNDUP((ROUNDDOWN((((62+(C13-36))*C32+62+C34+(168-C30*24))+(C14+12)*(C32+3)),0)*1000/C38)*10/C23,0)</f>
        <v>6080</v>
      </c>
    </row>
    <row r="36" spans="1:4" hidden="1">
      <c r="A36" s="135" t="s">
        <v>364</v>
      </c>
      <c r="B36" s="135"/>
      <c r="C36" s="135">
        <f>ROUNDUP((C31+C33+10)*10*1000/C29/C23,0)</f>
        <v>5426</v>
      </c>
      <c r="D36" t="str">
        <f>DEC2HEX(C36)</f>
        <v>1532</v>
      </c>
    </row>
    <row r="37" spans="1:4" hidden="1">
      <c r="A37" s="135" t="s">
        <v>417</v>
      </c>
      <c r="B37" s="135"/>
      <c r="C37" s="135">
        <f>C35</f>
        <v>6080</v>
      </c>
    </row>
    <row r="38" spans="1:4" hidden="1">
      <c r="A38" s="110" t="s">
        <v>360</v>
      </c>
      <c r="B38" s="110"/>
      <c r="C38" s="110">
        <f>INT(C18*(100-C19)/80)</f>
        <v>1125</v>
      </c>
    </row>
    <row r="39" spans="1:4" hidden="1">
      <c r="A39" s="110" t="s">
        <v>250</v>
      </c>
      <c r="B39" s="110"/>
      <c r="C39" s="110">
        <f>ROUNDUP((1000000000/C16)/C23,0)</f>
        <v>6087</v>
      </c>
    </row>
    <row r="40" spans="1:4" hidden="1">
      <c r="A40" s="110" t="s">
        <v>413</v>
      </c>
      <c r="B40" s="110"/>
      <c r="C40" s="110">
        <f>C25+C28+16</f>
        <v>5670</v>
      </c>
    </row>
    <row r="41" spans="1:4" hidden="1">
      <c r="A41" s="110" t="s">
        <v>251</v>
      </c>
      <c r="B41" s="110"/>
      <c r="C41" s="136">
        <f>IF(C17=1,(IF(C21=1,MAX(C40,C25,C28,C37,C39),MAX(C25,C28,C37,C39))),(IF(C21=1,MAX(C40,C25,C28,C37),MAX(C25,C28,C37))))</f>
        <v>6080</v>
      </c>
    </row>
    <row r="42" spans="1:4" hidden="1">
      <c r="A42" s="110" t="s">
        <v>252</v>
      </c>
      <c r="B42" s="110"/>
      <c r="C42" s="110">
        <f>1000000/C50</f>
        <v>5.3056027164685906</v>
      </c>
    </row>
    <row r="43" spans="1:4" hidden="1">
      <c r="A43" s="110" t="s">
        <v>253</v>
      </c>
      <c r="B43" s="110"/>
      <c r="C43" s="110">
        <f>12500*C18*(100-C19)</f>
        <v>1125000000</v>
      </c>
    </row>
    <row r="44" spans="1:4" hidden="1">
      <c r="A44" s="110" t="s">
        <v>254</v>
      </c>
      <c r="B44" s="110"/>
      <c r="C44" s="110">
        <f>IF((ROUNDDOWN((C43-(62+C13-36)*C32-62-C34-168+C30*24)/(C32+3),0)-12)&gt;C45,C45,ROUNDDOWN((C43-(62+C13-36)*C32-62-C34-168+C30*24)/(C32+3),0)-12)</f>
        <v>80054</v>
      </c>
    </row>
    <row r="45" spans="1:4" hidden="1">
      <c r="A45" s="110" t="s">
        <v>255</v>
      </c>
      <c r="B45" s="110"/>
      <c r="C45" s="110">
        <f>IF(C18=1000,180000,18000)</f>
        <v>180000</v>
      </c>
    </row>
    <row r="46" spans="1:4" hidden="1">
      <c r="A46" s="110" t="s">
        <v>256</v>
      </c>
      <c r="B46" s="110"/>
      <c r="C46" s="110">
        <f>((62+(C13-36))*C32+62+C34+168)+(C14+12)*(C32+3)</f>
        <v>21201668</v>
      </c>
    </row>
    <row r="47" spans="1:4" hidden="1">
      <c r="A47" s="110" t="s">
        <v>253</v>
      </c>
      <c r="B47" s="110"/>
      <c r="C47" s="110">
        <f>125000*C18</f>
        <v>125000000</v>
      </c>
    </row>
    <row r="48" spans="1:4" hidden="1">
      <c r="A48" s="110" t="s">
        <v>257</v>
      </c>
      <c r="B48" s="110"/>
      <c r="C48" s="110">
        <f>IF((100-ROUNDDOWN(C46*10/(1250000*C18/10),0)-1)&lt;0,0,(100-ROUNDDOWN(C46*10/(1250000*C18/10),0)-1))</f>
        <v>98</v>
      </c>
    </row>
    <row r="49" spans="1:4" hidden="1">
      <c r="A49" s="110" t="s">
        <v>258</v>
      </c>
      <c r="B49" s="110"/>
      <c r="C49" s="110">
        <f>ROUNDDOWN((C43-(62+C13-36)*C32-62-C34-168+C30*24)/(C32+3),0)-12</f>
        <v>80054</v>
      </c>
    </row>
    <row r="50" spans="1:4" hidden="1">
      <c r="A50" s="110" t="s">
        <v>424</v>
      </c>
      <c r="B50" s="110"/>
      <c r="C50" s="133">
        <f>ROUNDUP(C41*C23/1000,0)</f>
        <v>188480</v>
      </c>
    </row>
    <row r="51" spans="1:4" hidden="1">
      <c r="A51" s="110" t="s">
        <v>425</v>
      </c>
      <c r="B51" s="110"/>
      <c r="C51" s="110">
        <f>ROUNDDOWN(1000000000/C50,0)</f>
        <v>5305</v>
      </c>
    </row>
    <row r="52" spans="1:4" hidden="1">
      <c r="A52" s="110" t="s">
        <v>416</v>
      </c>
      <c r="B52" s="110"/>
      <c r="C52" s="110">
        <f>ROUNDDOWN(C4*C51/10*IF(C12=8,1,2)/10*C5/10,0)</f>
        <v>107061860</v>
      </c>
    </row>
    <row r="53" spans="1:4" hidden="1">
      <c r="A53" s="110" t="s">
        <v>366</v>
      </c>
      <c r="B53" s="110"/>
      <c r="C53" s="110">
        <f>ROUNDDOWN((C52*10/(100-C19)*10),)</f>
        <v>118957622</v>
      </c>
    </row>
    <row r="54" spans="1:4" hidden="1">
      <c r="A54" s="110"/>
      <c r="B54" s="110"/>
      <c r="C54" s="110"/>
    </row>
    <row r="55" spans="1:4" hidden="1">
      <c r="A55" s="110" t="s">
        <v>262</v>
      </c>
      <c r="B55" s="110"/>
      <c r="C55" s="110">
        <f>ROUNDDOWN(5496/(4*C57),0)*4</f>
        <v>5496</v>
      </c>
    </row>
    <row r="56" spans="1:4" hidden="1">
      <c r="A56" s="110" t="s">
        <v>263</v>
      </c>
      <c r="B56" s="110"/>
      <c r="C56" s="110">
        <f>ROUNDDOWN(3672/(2*C58),0)*2</f>
        <v>3672</v>
      </c>
    </row>
    <row r="57" spans="1:4" hidden="1">
      <c r="A57" s="110" t="s">
        <v>264</v>
      </c>
      <c r="B57" s="110"/>
      <c r="C57" s="110">
        <f>IF(C6=1,C8,C6)</f>
        <v>1</v>
      </c>
    </row>
    <row r="58" spans="1:4" hidden="1">
      <c r="A58" s="110" t="s">
        <v>265</v>
      </c>
      <c r="B58" s="110"/>
      <c r="C58" s="110">
        <f>IF(C7=1,C9,C7)</f>
        <v>1</v>
      </c>
    </row>
    <row r="59" spans="1:4" hidden="1">
      <c r="A59" s="110" t="s">
        <v>266</v>
      </c>
      <c r="B59" s="110"/>
      <c r="C59" s="110">
        <f>ROUNDDOWN(C63/4,0)*4*C57</f>
        <v>5496</v>
      </c>
    </row>
    <row r="60" spans="1:4" hidden="1">
      <c r="A60" s="110" t="s">
        <v>267</v>
      </c>
      <c r="B60" s="110"/>
      <c r="C60" s="110">
        <f>ROUNDDOWN(C64/2,0)*2*C58</f>
        <v>3672</v>
      </c>
    </row>
    <row r="61" spans="1:4" hidden="1">
      <c r="A61" s="110" t="s">
        <v>268</v>
      </c>
      <c r="B61" s="110"/>
      <c r="C61" s="110">
        <f>ROUNDDOWN(C4/4,0)*4*C57</f>
        <v>5496</v>
      </c>
    </row>
    <row r="62" spans="1:4" hidden="1">
      <c r="A62" s="110" t="s">
        <v>269</v>
      </c>
      <c r="B62" s="110"/>
      <c r="C62" s="110">
        <f>ROUNDDOWN(C5/2,0)*2*C58</f>
        <v>3672</v>
      </c>
    </row>
    <row r="63" spans="1:4" hidden="1">
      <c r="A63" s="110" t="s">
        <v>270</v>
      </c>
      <c r="B63" s="110"/>
      <c r="C63" s="110">
        <f>ROUNDDOWN(C61/(4*C57),0)*4</f>
        <v>5496</v>
      </c>
      <c r="D63" s="120" t="str">
        <f>IF(J76=1,J72,"")</f>
        <v/>
      </c>
    </row>
    <row r="64" spans="1:4" hidden="1">
      <c r="A64" s="110" t="s">
        <v>271</v>
      </c>
      <c r="B64" s="110"/>
      <c r="C64" s="110">
        <f>ROUNDDOWN(C62/(2*C58),0)*2</f>
        <v>3672</v>
      </c>
    </row>
    <row r="65" spans="1:10" hidden="1">
      <c r="A65" s="110"/>
      <c r="B65" s="110"/>
      <c r="C65" s="110"/>
    </row>
    <row r="66" spans="1:10" hidden="1">
      <c r="A66" s="110"/>
      <c r="B66" s="110"/>
      <c r="C66" s="110"/>
    </row>
    <row r="67" spans="1:10" ht="14.25" hidden="1">
      <c r="A67" s="118" t="s">
        <v>272</v>
      </c>
      <c r="B67" s="118"/>
      <c r="C67" s="118"/>
    </row>
    <row r="68" spans="1:10" ht="14.25">
      <c r="A68" s="118" t="s">
        <v>252</v>
      </c>
      <c r="B68" s="118" t="s">
        <v>273</v>
      </c>
      <c r="C68" s="118">
        <f>ROUND(C42,2)</f>
        <v>5.31</v>
      </c>
    </row>
    <row r="69" spans="1:10">
      <c r="J69" t="s">
        <v>418</v>
      </c>
    </row>
    <row r="70" spans="1:10">
      <c r="J70" t="s">
        <v>1214</v>
      </c>
    </row>
    <row r="71" spans="1:10">
      <c r="J71" t="s">
        <v>1215</v>
      </c>
    </row>
    <row r="72" spans="1:10">
      <c r="J72" t="s">
        <v>421</v>
      </c>
    </row>
    <row r="75" spans="1:10">
      <c r="J75" t="s">
        <v>422</v>
      </c>
    </row>
    <row r="76" spans="1:10">
      <c r="J76">
        <f>IF(OR(OR(C4&gt;C2,C4&lt;64),OR(C5&gt;C3,C5&lt;64)),1,0)</f>
        <v>0</v>
      </c>
    </row>
  </sheetData>
  <sheetProtection sheet="1" objects="1" scenarios="1" selectLockedCells="1"/>
  <phoneticPr fontId="37" type="noConversion"/>
  <conditionalFormatting sqref="C4">
    <cfRule type="cellIs" dxfId="14" priority="2" operator="lessThan">
      <formula>64</formula>
    </cfRule>
    <cfRule type="cellIs" dxfId="13" priority="3" operator="greaterThan">
      <formula>$C$2</formula>
    </cfRule>
  </conditionalFormatting>
  <conditionalFormatting sqref="C5">
    <cfRule type="cellIs" dxfId="12" priority="4" stopIfTrue="1" operator="lessThan">
      <formula>64</formula>
    </cfRule>
    <cfRule type="cellIs" dxfId="11" priority="5" stopIfTrue="1" operator="greaterThan">
      <formula>$C$3</formula>
    </cfRule>
  </conditionalFormatting>
  <conditionalFormatting sqref="C68">
    <cfRule type="expression" dxfId="10" priority="1" stopIfTrue="1">
      <formula>$J$8=1</formula>
    </cfRule>
  </conditionalFormatting>
  <dataValidations count="20"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="输入参数值为1、2或者4，并且当水平像素Binning不为1时不能输入" sqref="C8">
      <formula1>AND(OR((C8=1),(C8=2),(C8=4)),C6=1)</formula1>
    </dataValidation>
    <dataValidation type="custom" allowBlank="1" showInputMessage="1" showErrorMessage="1" errorTitle="Input parameter error" error="Input range:[64, 'WidthMax'],and is an integer multiple of 4" sqref="C4">
      <formula1>AND((C4&lt;=C2),(C4&gt;=64),(MOD(C4,4)=0))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输入范围是64~图像高度最大值，步长为2" sqref="C5">
      <formula1>AND((C5&lt;=C3),(C5&gt;=64),(MOD(C5,2)=0))</formula1>
    </dataValidation>
    <dataValidation type="custom" allowBlank="1" showInputMessage="1" showErrorMessage="1" error="输入参数值为1、2或者4，并且当水平像素抽样不为1时不能输入" sqref="C6">
      <formula1>AND(OR((C6=1),(C6=2),(C6=4)),C8=1)</formula1>
    </dataValidation>
    <dataValidation type="custom" allowBlank="1" showInputMessage="1" showErrorMessage="1" error="输入参数值为1、2或者4，并且当垂直像素抽样不为1时不能输入" sqref="C7">
      <formula1>AND(OR((C7=1),(C7=2),(C7=4)),C9=1)</formula1>
    </dataValidation>
    <dataValidation type="custom" allowBlank="1" showInputMessage="1" showErrorMessage="1" error="输入参数值为1、2或者4，并且当垂直像素Binning不为1时不能输入" sqref="C9">
      <formula1>AND(OR((C9=1),(C9=2),(C9=4)),C7=1)</formula1>
    </dataValidation>
    <dataValidation type="whole" allowBlank="1" showInputMessage="1" showErrorMessage="1" errorTitle="Input parameter error" error="Input range:[31, 1000000]" sqref="C10">
      <formula1>31</formula1>
      <formula2>1000000</formula2>
    </dataValidation>
    <dataValidation type="whole" allowBlank="1" showInputMessage="1" showErrorMessage="1" errorTitle="Input parameter error" error="Input range:[0, 5000]" sqref="C11">
      <formula1>0</formula1>
      <formula2>5000</formula2>
    </dataValidation>
    <dataValidation type="custom" allowBlank="1" showInputMessage="1" showErrorMessage="1" error="Input 8 or 10" sqref="C12">
      <formula1>OR((C12=8),(C12=12))</formula1>
    </dataValidation>
    <dataValidation type="custom" allowBlank="1" showInputMessage="1" showErrorMessage="1" error="Input range:[512, 8192],and is an integer multiple of 4" sqref="C13">
      <formula1>AND((C13&lt;=8192),(C13&gt;=512),(MOD(C13,4)=0))</formula1>
    </dataValidation>
    <dataValidation type="whole" allowBlank="1" showInputMessage="1" showErrorMessage="1" error="Input range:[0, 'GevSCPDMaxValue'], and is an integer multiple of 1" sqref="C14">
      <formula1>0</formula1>
      <formula2>C15</formula2>
    </dataValidation>
    <dataValidation type="whole" allowBlank="1" showErrorMessage="1" error="设置值超过最大值" prompt="应在包间隔范围内" sqref="C15">
      <formula1>0</formula1>
      <formula2>C44</formula2>
    </dataValidation>
    <dataValidation type="custom" allowBlank="1" showInputMessage="1" showErrorMessage="1" errorTitle="Input parameter error" error="Input 1000 or 100" sqref="C18">
      <formula1>OR((C18=1000),(C18=100))</formula1>
    </dataValidation>
    <dataValidation type="custom" allowBlank="1" showErrorMessage="1" errorTitle=" Input parameter error" error="Input range:[0.1, 10000]" prompt="应在包间隔范围内" sqref="C16">
      <formula1>AND(TRUNC(C16,1)=C16,(C16&gt;=0.1),(C16&lt;=10000))</formula1>
    </dataValidation>
    <dataValidation type="custom" allowBlank="1" showErrorMessage="1" errorTitle="Input parameter error" error="Input 0 or 1" prompt="应在包间隔范围内" sqref="C17">
      <formula1>OR((C17=0),(C17=1))</formula1>
    </dataValidation>
    <dataValidation type="whole" allowBlank="1" showInputMessage="1" showErrorMessage="1" errorTitle="Input parameter error" error="Input range:[0, 'BandwidthReserveMaxValue'], and is an integer multiple of 1" sqref="C19">
      <formula1>0</formula1>
      <formula2>C20</formula2>
    </dataValidation>
    <dataValidation type="whole" allowBlank="1" error="设置值超过包间隔范围" prompt="设置值应在预留带宽范围内" sqref="C20">
      <formula1>0</formula1>
      <formula2>C42</formula2>
    </dataValidation>
    <dataValidation type="custom" allowBlank="1" showInputMessage="1" showErrorMessage="1" errorTitle="Input parameter error" error="Input 0 or 1" sqref="C21">
      <formula1>OR((C21=0),(C21=1))</formula1>
    </dataValidation>
  </dataValidations>
  <pageMargins left="0.7" right="0.7" top="0.75" bottom="0.75" header="0.3" footer="0.3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B1" workbookViewId="0">
      <selection activeCell="C12" sqref="C12"/>
    </sheetView>
  </sheetViews>
  <sheetFormatPr defaultColWidth="9" defaultRowHeight="13.5"/>
  <cols>
    <col min="1" max="1" width="15.375" style="116" hidden="1" customWidth="1"/>
    <col min="2" max="2" width="30.875" style="116" customWidth="1"/>
    <col min="3" max="3" width="18.625" style="116" customWidth="1"/>
    <col min="4" max="4" width="10.5" style="116" customWidth="1"/>
    <col min="5" max="8" width="9" style="116"/>
    <col min="9" max="9" width="9" style="116" customWidth="1"/>
    <col min="10" max="10" width="38.75" style="116" hidden="1" customWidth="1"/>
    <col min="11" max="15" width="9" style="116" customWidth="1"/>
    <col min="16" max="16384" width="9" style="116"/>
  </cols>
  <sheetData>
    <row r="1" spans="1:6">
      <c r="A1" s="121" t="s">
        <v>197</v>
      </c>
      <c r="B1" s="121"/>
      <c r="C1" s="122"/>
    </row>
    <row r="2" spans="1:6">
      <c r="A2" s="121" t="s">
        <v>198</v>
      </c>
      <c r="B2" s="121" t="s">
        <v>199</v>
      </c>
      <c r="C2" s="121">
        <f>C55</f>
        <v>4024</v>
      </c>
    </row>
    <row r="3" spans="1:6">
      <c r="A3" s="121" t="s">
        <v>200</v>
      </c>
      <c r="B3" s="121" t="s">
        <v>201</v>
      </c>
      <c r="C3" s="121">
        <f>C56</f>
        <v>3036</v>
      </c>
    </row>
    <row r="4" spans="1:6">
      <c r="A4" s="121" t="s">
        <v>202</v>
      </c>
      <c r="B4" s="121" t="s">
        <v>203</v>
      </c>
      <c r="C4" s="122">
        <v>4024</v>
      </c>
      <c r="D4" s="123" t="str">
        <f>IF(OR(C4&gt;C2,C4&lt;4),J75,"")</f>
        <v/>
      </c>
    </row>
    <row r="5" spans="1:6">
      <c r="A5" s="121" t="s">
        <v>204</v>
      </c>
      <c r="B5" s="121" t="s">
        <v>205</v>
      </c>
      <c r="C5" s="122">
        <v>3036</v>
      </c>
      <c r="D5" s="123" t="str">
        <f>IF(OR(C5&gt;C3,C5&lt;2),J76,"")</f>
        <v/>
      </c>
    </row>
    <row r="6" spans="1:6" hidden="1">
      <c r="A6" s="121" t="s">
        <v>206</v>
      </c>
      <c r="B6" s="121" t="s">
        <v>207</v>
      </c>
      <c r="C6" s="122">
        <v>1</v>
      </c>
    </row>
    <row r="7" spans="1:6" hidden="1">
      <c r="A7" s="121" t="s">
        <v>208</v>
      </c>
      <c r="B7" s="121" t="s">
        <v>209</v>
      </c>
      <c r="C7" s="122">
        <v>1</v>
      </c>
    </row>
    <row r="8" spans="1:6">
      <c r="A8" s="121" t="s">
        <v>210</v>
      </c>
      <c r="B8" s="121" t="s">
        <v>211</v>
      </c>
      <c r="C8" s="122">
        <v>1</v>
      </c>
    </row>
    <row r="9" spans="1:6">
      <c r="A9" s="121" t="s">
        <v>212</v>
      </c>
      <c r="B9" s="121" t="s">
        <v>213</v>
      </c>
      <c r="C9" s="122">
        <v>1</v>
      </c>
    </row>
    <row r="10" spans="1:6">
      <c r="A10" s="121" t="s">
        <v>214</v>
      </c>
      <c r="B10" s="121" t="s">
        <v>215</v>
      </c>
      <c r="C10" s="122">
        <v>60000</v>
      </c>
    </row>
    <row r="11" spans="1:6">
      <c r="A11" s="121" t="s">
        <v>216</v>
      </c>
      <c r="B11" s="121" t="s">
        <v>217</v>
      </c>
      <c r="C11" s="122">
        <v>0</v>
      </c>
    </row>
    <row r="12" spans="1:6">
      <c r="A12" s="121" t="s">
        <v>218</v>
      </c>
      <c r="B12" s="121" t="s">
        <v>219</v>
      </c>
      <c r="C12" s="122">
        <v>8</v>
      </c>
      <c r="F12" s="116" t="s">
        <v>930</v>
      </c>
    </row>
    <row r="13" spans="1:6">
      <c r="A13" s="121" t="s">
        <v>220</v>
      </c>
      <c r="B13" s="121" t="s">
        <v>221</v>
      </c>
      <c r="C13" s="122">
        <v>1500</v>
      </c>
    </row>
    <row r="14" spans="1:6">
      <c r="A14" s="121" t="s">
        <v>222</v>
      </c>
      <c r="B14" s="121" t="s">
        <v>223</v>
      </c>
      <c r="C14" s="122">
        <v>0</v>
      </c>
    </row>
    <row r="15" spans="1:6">
      <c r="A15" s="121" t="s">
        <v>224</v>
      </c>
      <c r="B15" s="121" t="s">
        <v>225</v>
      </c>
      <c r="C15" s="121">
        <f>C44</f>
        <v>133241</v>
      </c>
    </row>
    <row r="16" spans="1:6">
      <c r="A16" s="121" t="s">
        <v>226</v>
      </c>
      <c r="B16" s="121" t="s">
        <v>227</v>
      </c>
      <c r="C16" s="122">
        <v>9.6</v>
      </c>
    </row>
    <row r="17" spans="1:3">
      <c r="A17" s="121" t="s">
        <v>228</v>
      </c>
      <c r="B17" s="121" t="s">
        <v>229</v>
      </c>
      <c r="C17" s="122">
        <v>0</v>
      </c>
    </row>
    <row r="18" spans="1:3">
      <c r="A18" s="121" t="s">
        <v>230</v>
      </c>
      <c r="B18" s="121" t="s">
        <v>231</v>
      </c>
      <c r="C18" s="122">
        <v>1000</v>
      </c>
    </row>
    <row r="19" spans="1:3">
      <c r="A19" s="121" t="s">
        <v>232</v>
      </c>
      <c r="B19" s="121" t="s">
        <v>233</v>
      </c>
      <c r="C19" s="122">
        <v>10</v>
      </c>
    </row>
    <row r="20" spans="1:3">
      <c r="A20" s="121" t="s">
        <v>234</v>
      </c>
      <c r="B20" s="121" t="s">
        <v>235</v>
      </c>
      <c r="C20" s="121">
        <f>C48</f>
        <v>98</v>
      </c>
    </row>
    <row r="21" spans="1:3">
      <c r="A21" s="121" t="s">
        <v>280</v>
      </c>
      <c r="B21" s="121" t="s">
        <v>281</v>
      </c>
      <c r="C21" s="122">
        <v>0</v>
      </c>
    </row>
    <row r="22" spans="1:3" hidden="1">
      <c r="A22" s="124"/>
      <c r="B22" s="121"/>
      <c r="C22" s="121"/>
    </row>
    <row r="23" spans="1:3" hidden="1">
      <c r="A23" s="124" t="s">
        <v>259</v>
      </c>
      <c r="B23" s="121"/>
      <c r="C23" s="125">
        <v>22917</v>
      </c>
    </row>
    <row r="24" spans="1:3" hidden="1">
      <c r="A24" s="124" t="s">
        <v>236</v>
      </c>
      <c r="B24" s="121"/>
      <c r="C24" s="126">
        <f>C16*10</f>
        <v>96</v>
      </c>
    </row>
    <row r="25" spans="1:3" hidden="1">
      <c r="A25" s="124" t="s">
        <v>237</v>
      </c>
      <c r="B25" s="126"/>
      <c r="C25" s="126">
        <f>33+MAX(MAX(C5,3046)+38-33,2+17+ROUNDUP(1000*50/C23,0))</f>
        <v>3084</v>
      </c>
    </row>
    <row r="26" spans="1:3" hidden="1">
      <c r="A26" s="124" t="s">
        <v>238</v>
      </c>
      <c r="B26" s="126"/>
      <c r="C26" s="126">
        <f>MAX(ROUNDUP(((1000*C10)/C23),0),1)</f>
        <v>2619</v>
      </c>
    </row>
    <row r="27" spans="1:3" hidden="1">
      <c r="A27" s="124" t="s">
        <v>239</v>
      </c>
      <c r="B27" s="126"/>
      <c r="C27" s="126">
        <f>ROUNDDOWN(C11*1000/C23,0)</f>
        <v>0</v>
      </c>
    </row>
    <row r="28" spans="1:3" hidden="1">
      <c r="A28" s="124" t="s">
        <v>240</v>
      </c>
      <c r="B28" s="126"/>
      <c r="C28" s="126">
        <f>C26+C27+8</f>
        <v>2627</v>
      </c>
    </row>
    <row r="29" spans="1:3" ht="12.75" hidden="1" customHeight="1">
      <c r="A29" s="124" t="s">
        <v>313</v>
      </c>
      <c r="B29" s="126"/>
      <c r="C29" s="126">
        <v>1250</v>
      </c>
    </row>
    <row r="30" spans="1:3" hidden="1">
      <c r="A30" s="124" t="s">
        <v>241</v>
      </c>
      <c r="B30" s="126"/>
      <c r="C30" s="126">
        <v>0</v>
      </c>
    </row>
    <row r="31" spans="1:3" hidden="1">
      <c r="A31" s="124" t="s">
        <v>242</v>
      </c>
      <c r="B31" s="126"/>
      <c r="C31" s="127">
        <f>C4*C5*IF(C12=8,1,2)+C30*32</f>
        <v>12216864</v>
      </c>
    </row>
    <row r="32" spans="1:3" hidden="1">
      <c r="A32" s="124" t="s">
        <v>243</v>
      </c>
      <c r="B32" s="126"/>
      <c r="C32" s="126">
        <f>ROUNDDOWN((C4*C5*ROUNDUP(C12/8,0)+C30*36)/(C13-36),0)</f>
        <v>8344</v>
      </c>
    </row>
    <row r="33" spans="1:4" hidden="1">
      <c r="A33" s="124" t="s">
        <v>332</v>
      </c>
      <c r="B33" s="126"/>
      <c r="C33" s="126">
        <f>IF(C30=0,36,12)</f>
        <v>36</v>
      </c>
    </row>
    <row r="34" spans="1:4" hidden="1">
      <c r="A34" s="124" t="s">
        <v>244</v>
      </c>
      <c r="B34" s="126"/>
      <c r="C34" s="126">
        <f>C4*C5*ROUNDUP(C12/8,0)+C30*32-(C13-36)*C32</f>
        <v>1248</v>
      </c>
    </row>
    <row r="35" spans="1:4" hidden="1">
      <c r="A35" s="126" t="s">
        <v>249</v>
      </c>
      <c r="B35" s="126"/>
      <c r="C35" s="126">
        <f>ROUNDUP((ROUNDDOWN((((62+(C13-36))*C32+62+C34+(168-C30*24))+(C14+12)*(C32+3)),0)*1000/C38)*10/C23,0)</f>
        <v>4979</v>
      </c>
    </row>
    <row r="36" spans="1:4" hidden="1">
      <c r="A36" s="128" t="s">
        <v>364</v>
      </c>
      <c r="B36" s="128"/>
      <c r="C36" s="128">
        <f>ROUNDUP((C31+C33+10)*10*1000/C29/C23,0)</f>
        <v>4265</v>
      </c>
    </row>
    <row r="37" spans="1:4" hidden="1">
      <c r="A37" s="128" t="s">
        <v>417</v>
      </c>
      <c r="B37" s="128"/>
      <c r="C37" s="128">
        <f>MAX(C35)</f>
        <v>4979</v>
      </c>
    </row>
    <row r="38" spans="1:4" hidden="1">
      <c r="A38" s="126" t="s">
        <v>360</v>
      </c>
      <c r="B38" s="126"/>
      <c r="C38" s="126">
        <f>INT(IF(C21=0,C18*(100-C19)/80,C18*100/80))</f>
        <v>1125</v>
      </c>
    </row>
    <row r="39" spans="1:4" hidden="1">
      <c r="A39" s="126" t="s">
        <v>250</v>
      </c>
      <c r="B39" s="126"/>
      <c r="C39" s="126">
        <f>ROUNDUP((1000000000/C16)/C23,0)</f>
        <v>4546</v>
      </c>
    </row>
    <row r="40" spans="1:4" hidden="1">
      <c r="A40" s="126" t="s">
        <v>413</v>
      </c>
      <c r="B40" s="126"/>
      <c r="C40" s="126">
        <f>IF(C21=0,0,MAX(C25+C28+C27+16,C35))</f>
        <v>0</v>
      </c>
    </row>
    <row r="41" spans="1:4" hidden="1">
      <c r="A41" s="126" t="s">
        <v>251</v>
      </c>
      <c r="B41" s="126"/>
      <c r="C41" s="129">
        <f>IF(C17=1,(IF(C21=1,MAX(C40,C37,C39),MAX(C25,C28,C37,C39))),(IF(C21=1,MAX(C40,C37),MAX(C25,C28,C37))))</f>
        <v>4979</v>
      </c>
      <c r="D41" s="116" t="str">
        <f>DEC2HEX(C41)</f>
        <v>1373</v>
      </c>
    </row>
    <row r="42" spans="1:4" hidden="1">
      <c r="A42" s="126" t="s">
        <v>252</v>
      </c>
      <c r="B42" s="126"/>
      <c r="C42" s="126">
        <f>1000000/C50</f>
        <v>8.7639346561032045</v>
      </c>
    </row>
    <row r="43" spans="1:4" hidden="1">
      <c r="A43" s="126" t="s">
        <v>253</v>
      </c>
      <c r="B43" s="126"/>
      <c r="C43" s="126">
        <f>12500*C18*(100-C19)</f>
        <v>1125000000</v>
      </c>
    </row>
    <row r="44" spans="1:4" hidden="1">
      <c r="A44" s="126" t="s">
        <v>254</v>
      </c>
      <c r="B44" s="126"/>
      <c r="C44" s="126">
        <f>IF((ROUNDDOWN((C43-(62+C13-36)*C32-62-C34-168+C30*24)/(C32+3),0)-12)&gt;C45,C45,ROUNDDOWN((C43-(62+C13-36)*C32-62-C34-168+C30*24)/(C32+3),0)-12)</f>
        <v>133241</v>
      </c>
    </row>
    <row r="45" spans="1:4" hidden="1">
      <c r="A45" s="110" t="s">
        <v>255</v>
      </c>
      <c r="B45" s="126"/>
      <c r="C45" s="126">
        <f>IF(C18=1000,180000,18000)</f>
        <v>180000</v>
      </c>
    </row>
    <row r="46" spans="1:4" hidden="1">
      <c r="A46" s="126" t="s">
        <v>256</v>
      </c>
      <c r="B46" s="126"/>
      <c r="C46" s="126">
        <f>((62+(C13-36))*C32+62+C34+168)+(C14+12)*(C32+3)</f>
        <v>12834586</v>
      </c>
    </row>
    <row r="47" spans="1:4" hidden="1">
      <c r="A47" s="126" t="s">
        <v>253</v>
      </c>
      <c r="B47" s="126"/>
      <c r="C47" s="126">
        <f>125000*C18</f>
        <v>125000000</v>
      </c>
    </row>
    <row r="48" spans="1:4" hidden="1">
      <c r="A48" s="126" t="s">
        <v>257</v>
      </c>
      <c r="B48" s="126"/>
      <c r="C48" s="126">
        <f>IF((100-ROUNDDOWN(C46*10/(1250000*C18/10),0)-1)&lt;0,0,(100-ROUNDDOWN(C46*10/(1250000*C18/10),0)-1))</f>
        <v>98</v>
      </c>
    </row>
    <row r="49" spans="1:3" hidden="1">
      <c r="A49" s="126" t="s">
        <v>258</v>
      </c>
      <c r="B49" s="126"/>
      <c r="C49" s="126">
        <f>ROUNDDOWN((C43-(62+C13-36)*C32-62-C34-168+C30*24)/(C32+3),0)-12</f>
        <v>133241</v>
      </c>
    </row>
    <row r="50" spans="1:3" hidden="1">
      <c r="A50" s="126" t="s">
        <v>424</v>
      </c>
      <c r="B50" s="126"/>
      <c r="C50" s="125">
        <f>ROUNDUP(C41*C23/1000,0)</f>
        <v>114104</v>
      </c>
    </row>
    <row r="51" spans="1:3" hidden="1">
      <c r="A51" s="126" t="s">
        <v>425</v>
      </c>
      <c r="B51" s="126"/>
      <c r="C51" s="126">
        <f>ROUNDDOWN(1000000000/C50,0)</f>
        <v>8763</v>
      </c>
    </row>
    <row r="52" spans="1:3" hidden="1">
      <c r="A52" s="126" t="s">
        <v>416</v>
      </c>
      <c r="B52" s="126"/>
      <c r="C52" s="126">
        <f>ROUNDDOWN(C4*C51/10*IF(C12=8,1,2)/10*C5/10,0)</f>
        <v>107056379</v>
      </c>
    </row>
    <row r="53" spans="1:3" hidden="1">
      <c r="A53" s="126" t="s">
        <v>366</v>
      </c>
      <c r="B53" s="126"/>
      <c r="C53" s="126">
        <f>IF(C21=0,ROUNDDOWN((C52*10/(100-C19)*10),0),ROUNDDOWN((C52*10/(100)*10),0))</f>
        <v>118951532</v>
      </c>
    </row>
    <row r="54" spans="1:3" hidden="1">
      <c r="A54" s="126"/>
      <c r="B54" s="126"/>
      <c r="C54" s="126"/>
    </row>
    <row r="55" spans="1:3" hidden="1">
      <c r="A55" s="126" t="s">
        <v>262</v>
      </c>
      <c r="B55" s="126"/>
      <c r="C55" s="126">
        <f>ROUNDDOWN(4024/(4*C57),0)*4</f>
        <v>4024</v>
      </c>
    </row>
    <row r="56" spans="1:3" hidden="1">
      <c r="A56" s="126" t="s">
        <v>263</v>
      </c>
      <c r="B56" s="126"/>
      <c r="C56" s="126">
        <f>ROUNDDOWN(3036/(2*C58),0)*2</f>
        <v>3036</v>
      </c>
    </row>
    <row r="57" spans="1:3" hidden="1">
      <c r="A57" s="126" t="s">
        <v>264</v>
      </c>
      <c r="B57" s="126"/>
      <c r="C57" s="126">
        <f>IF(C6=1,C8,C6)</f>
        <v>1</v>
      </c>
    </row>
    <row r="58" spans="1:3" hidden="1">
      <c r="A58" s="126" t="s">
        <v>265</v>
      </c>
      <c r="B58" s="126"/>
      <c r="C58" s="126">
        <f>IF(C7=1,C9,C7)</f>
        <v>1</v>
      </c>
    </row>
    <row r="59" spans="1:3" hidden="1">
      <c r="A59" s="126" t="s">
        <v>266</v>
      </c>
      <c r="B59" s="126"/>
      <c r="C59" s="126">
        <f>ROUNDDOWN(C63/4,0)*4*C57</f>
        <v>4024</v>
      </c>
    </row>
    <row r="60" spans="1:3" hidden="1">
      <c r="A60" s="126" t="s">
        <v>267</v>
      </c>
      <c r="B60" s="126"/>
      <c r="C60" s="126">
        <f>ROUNDDOWN(C64/2,0)*2*C58</f>
        <v>3036</v>
      </c>
    </row>
    <row r="61" spans="1:3" hidden="1">
      <c r="A61" s="126" t="s">
        <v>268</v>
      </c>
      <c r="B61" s="126"/>
      <c r="C61" s="126">
        <f>ROUNDDOWN(C4/4,0)*4*C57</f>
        <v>4024</v>
      </c>
    </row>
    <row r="62" spans="1:3" hidden="1">
      <c r="A62" s="126" t="s">
        <v>269</v>
      </c>
      <c r="B62" s="126"/>
      <c r="C62" s="126">
        <f>ROUNDDOWN(C5/2,0)*2*C58</f>
        <v>3036</v>
      </c>
    </row>
    <row r="63" spans="1:3" hidden="1">
      <c r="A63" s="126" t="s">
        <v>270</v>
      </c>
      <c r="B63" s="126"/>
      <c r="C63" s="126">
        <f>ROUNDDOWN(C61/(4*C57),0)*4</f>
        <v>4024</v>
      </c>
    </row>
    <row r="64" spans="1:3" hidden="1">
      <c r="A64" s="126" t="s">
        <v>271</v>
      </c>
      <c r="B64" s="126"/>
      <c r="C64" s="126">
        <f>ROUNDDOWN(C62/(2*C58),0)*2</f>
        <v>3036</v>
      </c>
    </row>
    <row r="65" spans="1:11" hidden="1">
      <c r="A65" s="126"/>
      <c r="B65" s="126"/>
      <c r="C65" s="126"/>
    </row>
    <row r="66" spans="1:11" hidden="1">
      <c r="A66" s="126"/>
      <c r="B66" s="126"/>
      <c r="C66" s="126"/>
    </row>
    <row r="67" spans="1:11" ht="14.25">
      <c r="A67" s="130" t="s">
        <v>272</v>
      </c>
      <c r="B67" s="130"/>
      <c r="C67" s="130"/>
    </row>
    <row r="68" spans="1:11" ht="14.25">
      <c r="A68" s="130" t="s">
        <v>252</v>
      </c>
      <c r="B68" s="130" t="s">
        <v>1065</v>
      </c>
      <c r="C68" s="130">
        <f>ROUND(C42,2)</f>
        <v>8.76</v>
      </c>
      <c r="D68" s="131" t="str">
        <f>IF(J81=1,J77,"")</f>
        <v/>
      </c>
    </row>
    <row r="74" spans="1:11">
      <c r="J74" t="s">
        <v>418</v>
      </c>
      <c r="K74" s="132"/>
    </row>
    <row r="75" spans="1:11">
      <c r="J75" s="115" t="s">
        <v>429</v>
      </c>
    </row>
    <row r="76" spans="1:11">
      <c r="J76" s="115" t="s">
        <v>427</v>
      </c>
    </row>
    <row r="77" spans="1:11">
      <c r="J77" t="s">
        <v>421</v>
      </c>
    </row>
    <row r="80" spans="1:11">
      <c r="J80" t="s">
        <v>422</v>
      </c>
    </row>
    <row r="81" spans="10:10">
      <c r="J81" s="116">
        <f>IF(OR(OR(C4&gt;C2,C4&lt;4),OR(C5&gt;C3,C5&lt;2)),1,0)</f>
        <v>0</v>
      </c>
    </row>
  </sheetData>
  <sheetProtection sheet="1" objects="1" scenarios="1" selectLockedCells="1"/>
  <phoneticPr fontId="37" type="noConversion"/>
  <conditionalFormatting sqref="C4">
    <cfRule type="cellIs" dxfId="9" priority="2" operator="lessThan">
      <formula>4</formula>
    </cfRule>
    <cfRule type="cellIs" dxfId="8" priority="3" operator="greaterThan">
      <formula>$C$2</formula>
    </cfRule>
  </conditionalFormatting>
  <conditionalFormatting sqref="C5">
    <cfRule type="cellIs" dxfId="7" priority="4" stopIfTrue="1" operator="lessThan">
      <formula>2</formula>
    </cfRule>
    <cfRule type="cellIs" dxfId="6" priority="5" stopIfTrue="1" operator="greaterThan">
      <formula>$C$3</formula>
    </cfRule>
  </conditionalFormatting>
  <conditionalFormatting sqref="C68">
    <cfRule type="expression" dxfId="5" priority="1" stopIfTrue="1">
      <formula>$J$8=1</formula>
    </cfRule>
  </conditionalFormatting>
  <dataValidations count="19"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="Input range:[4, 'WidthMax'],and is an integer multiple of 4" sqref="C4">
      <formula1>AND((C4&lt;=C2),(C4&gt;=4),(MOD(C4,4)=0))</formula1>
    </dataValidation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whole" allowBlank="1" showInputMessage="1" showErrorMessage="1" error="The input range :[23,1000000]" sqref="C10">
      <formula1>23</formula1>
      <formula2>1000000</formula2>
    </dataValidation>
    <dataValidation type="custom" allowBlank="1" showInputMessage="1" showErrorMessage="1" error="输入参数值为1、2或者4，并且当水平像素抽样不为1时不能输入" sqref="C6">
      <formula1>AND(OR((C6=1),(C6=2),(C6=4)),C8=1)</formula1>
    </dataValidation>
    <dataValidation type="custom" allowBlank="1" showInputMessage="1" showErrorMessage="1" error="Input range:[2, 'HeightMax'],and is an integer multiple of 2" sqref="C5">
      <formula1>AND((C5&lt;=C3),(C5&gt;=2),(MOD(C5,2)=0))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输入参数值为1、2或者4，并且当垂直像素抽样不为1时不能输入" sqref="C7">
      <formula1>AND(OR((C7=1),(C7=2),(C7=4)),C9=1)</formula1>
    </dataValidation>
    <dataValidation type="custom" allowBlank="1" showInputMessage="1" showErrorMessage="1" error="Please enter 8 or 12" sqref="C12">
      <formula1>OR((C12=8),(C12=12))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custom" allowBlank="1" showErrorMessage="1" error="Please enter a 0 or 1" prompt="应在包间隔范围内" sqref="C17">
      <formula1>OR((C17=0),(C17=1))</formula1>
    </dataValidation>
    <dataValidation type="whole" allowBlank="1" showErrorMessage="1" error="Set the value to exceed the maximum" prompt="应在包间隔范围内" sqref="C15">
      <formula1>0</formula1>
      <formula2>C44</formula2>
    </dataValidation>
    <dataValidation type="whole" allowBlank="1" error="设置值超过包间隔范围" prompt="设置值应在预留带宽范围内" sqref="C20">
      <formula1>0</formula1>
      <formula2>C48</formula2>
    </dataValidation>
    <dataValidation type="custom" allowBlank="1" showErrorMessage="1" error="Set the value range :[ 0.1,10000.0], accurate to one decimal" prompt="应在包间隔范围内" sqref="C16">
      <formula1>AND(TRUNC(C16,1)=C16,(C16&gt;=0.1),(C16&lt;=10000))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custom" allowBlank="1" showInputMessage="1" showErrorMessage="1" error="Please enter a 0 or 1" sqref="C21">
      <formula1>OR((C21=0),(C21=1))</formula1>
    </dataValidation>
    <dataValidation type="custom" allowBlank="1" showInputMessage="1" showErrorMessage="1" error="Please enter 1 or 2" sqref="C8:C9">
      <formula1>AND(OR((C8=1),(C8=2)),C6=1)</formula1>
    </dataValidation>
  </dataValidations>
  <pageMargins left="0.7" right="0.7" top="0.75" bottom="0.75" header="0.3" footer="0.3"/>
  <pageSetup paperSize="9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opLeftCell="B1" workbookViewId="0">
      <selection activeCell="C18" sqref="C18"/>
    </sheetView>
  </sheetViews>
  <sheetFormatPr defaultColWidth="9" defaultRowHeight="13.5"/>
  <cols>
    <col min="1" max="1" width="11.75" hidden="1" customWidth="1"/>
    <col min="2" max="2" width="30.875" customWidth="1"/>
    <col min="3" max="3" width="18.625" customWidth="1"/>
    <col min="4" max="4" width="10.5" customWidth="1"/>
    <col min="9" max="13" width="9" hidden="1" customWidth="1"/>
    <col min="14" max="15" width="9" customWidth="1"/>
  </cols>
  <sheetData>
    <row r="1" spans="1:10">
      <c r="A1" s="104" t="s">
        <v>197</v>
      </c>
      <c r="B1" s="104"/>
      <c r="C1" s="107"/>
      <c r="J1" t="s">
        <v>418</v>
      </c>
    </row>
    <row r="2" spans="1:10">
      <c r="A2" s="104" t="s">
        <v>198</v>
      </c>
      <c r="B2" s="104" t="s">
        <v>199</v>
      </c>
      <c r="C2" s="104">
        <f>ROUNDDOWN(1920/(4*C46)*4,0)</f>
        <v>1920</v>
      </c>
      <c r="J2" s="115" t="s">
        <v>1216</v>
      </c>
    </row>
    <row r="3" spans="1:10">
      <c r="A3" s="104" t="s">
        <v>200</v>
      </c>
      <c r="B3" s="104" t="s">
        <v>201</v>
      </c>
      <c r="C3" s="104">
        <f>ROUNDDOWN(1200/(2*C47)*2,0)</f>
        <v>1200</v>
      </c>
      <c r="J3" s="115" t="s">
        <v>427</v>
      </c>
    </row>
    <row r="4" spans="1:10">
      <c r="A4" s="104" t="s">
        <v>202</v>
      </c>
      <c r="B4" s="104" t="s">
        <v>203</v>
      </c>
      <c r="C4" s="107">
        <v>1920</v>
      </c>
      <c r="D4" s="105" t="str">
        <f>IF(OR(C4&gt;C2,C4&lt;4),J2,"")</f>
        <v/>
      </c>
      <c r="J4" t="s">
        <v>421</v>
      </c>
    </row>
    <row r="5" spans="1:10">
      <c r="A5" s="104" t="s">
        <v>204</v>
      </c>
      <c r="B5" s="104" t="s">
        <v>205</v>
      </c>
      <c r="C5" s="107">
        <v>1200</v>
      </c>
      <c r="D5" s="105" t="str">
        <f>IF(OR(C5&gt;C3,C5&lt;2),J3,"")</f>
        <v/>
      </c>
    </row>
    <row r="6" spans="1:10">
      <c r="A6" s="104" t="s">
        <v>1217</v>
      </c>
      <c r="B6" s="104" t="s">
        <v>207</v>
      </c>
      <c r="C6" s="107">
        <v>1</v>
      </c>
    </row>
    <row r="7" spans="1:10">
      <c r="A7" s="104" t="s">
        <v>1218</v>
      </c>
      <c r="B7" s="104" t="s">
        <v>209</v>
      </c>
      <c r="C7" s="107">
        <v>1</v>
      </c>
      <c r="J7" t="s">
        <v>422</v>
      </c>
    </row>
    <row r="8" spans="1:10">
      <c r="A8" s="104" t="s">
        <v>1219</v>
      </c>
      <c r="B8" s="104" t="s">
        <v>211</v>
      </c>
      <c r="C8" s="107">
        <v>1</v>
      </c>
      <c r="J8">
        <f>IF(OR(OR(C4&gt;C2,C4&lt;4),OR(C5&gt;C3,C5&lt;2)),1,0)</f>
        <v>0</v>
      </c>
    </row>
    <row r="9" spans="1:10">
      <c r="A9" s="104" t="s">
        <v>1220</v>
      </c>
      <c r="B9" s="104" t="s">
        <v>213</v>
      </c>
      <c r="C9" s="107">
        <v>1</v>
      </c>
    </row>
    <row r="10" spans="1:10">
      <c r="A10" s="104" t="s">
        <v>214</v>
      </c>
      <c r="B10" s="104" t="s">
        <v>215</v>
      </c>
      <c r="C10" s="107">
        <v>20000</v>
      </c>
    </row>
    <row r="11" spans="1:10" ht="15.6" customHeight="1">
      <c r="A11" s="104" t="s">
        <v>216</v>
      </c>
      <c r="B11" s="104" t="s">
        <v>217</v>
      </c>
      <c r="C11" s="107">
        <v>0</v>
      </c>
    </row>
    <row r="12" spans="1:10">
      <c r="A12" s="104" t="s">
        <v>218</v>
      </c>
      <c r="B12" s="104" t="s">
        <v>279</v>
      </c>
      <c r="C12" s="107">
        <v>8</v>
      </c>
    </row>
    <row r="13" spans="1:10">
      <c r="A13" s="104" t="s">
        <v>220</v>
      </c>
      <c r="B13" s="104" t="s">
        <v>221</v>
      </c>
      <c r="C13" s="107">
        <v>1500</v>
      </c>
    </row>
    <row r="14" spans="1:10">
      <c r="A14" s="104" t="s">
        <v>222</v>
      </c>
      <c r="B14" s="104" t="s">
        <v>223</v>
      </c>
      <c r="C14" s="107">
        <v>0</v>
      </c>
    </row>
    <row r="15" spans="1:10">
      <c r="A15" s="104" t="s">
        <v>224</v>
      </c>
      <c r="B15" s="104" t="s">
        <v>225</v>
      </c>
      <c r="C15" s="104">
        <f>C36</f>
        <v>180000</v>
      </c>
    </row>
    <row r="16" spans="1:10">
      <c r="A16" s="104" t="s">
        <v>226</v>
      </c>
      <c r="B16" s="104" t="s">
        <v>227</v>
      </c>
      <c r="C16" s="107">
        <v>40.6</v>
      </c>
    </row>
    <row r="17" spans="1:3">
      <c r="A17" s="104" t="s">
        <v>228</v>
      </c>
      <c r="B17" s="104" t="s">
        <v>229</v>
      </c>
      <c r="C17" s="107">
        <v>0</v>
      </c>
    </row>
    <row r="18" spans="1:3">
      <c r="A18" s="104" t="s">
        <v>230</v>
      </c>
      <c r="B18" s="104" t="s">
        <v>231</v>
      </c>
      <c r="C18" s="107">
        <v>1000</v>
      </c>
    </row>
    <row r="19" spans="1:3">
      <c r="A19" s="104" t="s">
        <v>232</v>
      </c>
      <c r="B19" s="104" t="s">
        <v>233</v>
      </c>
      <c r="C19" s="107">
        <v>10</v>
      </c>
    </row>
    <row r="20" spans="1:3">
      <c r="A20" s="104" t="s">
        <v>234</v>
      </c>
      <c r="B20" s="104" t="s">
        <v>235</v>
      </c>
      <c r="C20" s="104">
        <f>C40</f>
        <v>99</v>
      </c>
    </row>
    <row r="21" spans="1:3">
      <c r="A21" s="104"/>
      <c r="B21" s="104"/>
      <c r="C21" s="104"/>
    </row>
    <row r="22" spans="1:3" ht="12.75" hidden="1" customHeight="1">
      <c r="A22" s="117"/>
      <c r="B22" s="104"/>
      <c r="C22" s="104"/>
    </row>
    <row r="23" spans="1:3" ht="27" hidden="1">
      <c r="A23" s="117" t="s">
        <v>236</v>
      </c>
      <c r="B23" s="104"/>
      <c r="C23" s="110">
        <f>C16*10</f>
        <v>406</v>
      </c>
    </row>
    <row r="24" spans="1:3" hidden="1">
      <c r="A24" s="117" t="s">
        <v>237</v>
      </c>
      <c r="B24" s="110"/>
      <c r="C24" s="110">
        <f>(C49+38)*ROUNDUP(C12/8,0)</f>
        <v>1238</v>
      </c>
    </row>
    <row r="25" spans="1:3" hidden="1">
      <c r="A25" s="117" t="s">
        <v>238</v>
      </c>
      <c r="B25" s="110"/>
      <c r="C25" s="110">
        <f>MAX(ROUNDDOWN((C10-14)*375/(10*746),0),1)</f>
        <v>1004</v>
      </c>
    </row>
    <row r="26" spans="1:3" ht="27" hidden="1">
      <c r="A26" s="117" t="s">
        <v>239</v>
      </c>
      <c r="B26" s="110"/>
      <c r="C26" s="110">
        <f>ROUNDDOWN(C11*375/(10*746),0)</f>
        <v>0</v>
      </c>
    </row>
    <row r="27" spans="1:3" hidden="1">
      <c r="A27" s="117" t="s">
        <v>240</v>
      </c>
      <c r="B27" s="110"/>
      <c r="C27" s="110">
        <f>C25+C26+14</f>
        <v>1018</v>
      </c>
    </row>
    <row r="28" spans="1:3" hidden="1">
      <c r="A28" s="117" t="s">
        <v>241</v>
      </c>
      <c r="B28" s="110"/>
      <c r="C28" s="110">
        <v>0</v>
      </c>
    </row>
    <row r="29" spans="1:3" hidden="1">
      <c r="A29" s="117" t="s">
        <v>243</v>
      </c>
      <c r="B29" s="110"/>
      <c r="C29" s="110">
        <f>ROUNDDOWN((C4*C5*ROUNDUP(C12/8,0)+C28*36)/(C13-36),0)</f>
        <v>1573</v>
      </c>
    </row>
    <row r="30" spans="1:3" hidden="1">
      <c r="A30" s="117" t="s">
        <v>244</v>
      </c>
      <c r="B30" s="110"/>
      <c r="C30" s="110">
        <f>C4*C5*ROUNDUP(C12/8,0)+C28*32-(C13-36)*C29</f>
        <v>1128</v>
      </c>
    </row>
    <row r="31" spans="1:3" hidden="1">
      <c r="A31" s="110" t="s">
        <v>249</v>
      </c>
      <c r="B31" s="110"/>
      <c r="C31" s="110">
        <f>ROUNDDOWN((ROUNDDOWN((((62+(C13-36))*C29+62+C30+(168-C28*24))+(C14+12)*(C29+3))/ROUNDDOWN(C18*(100-C19)/100,0),0)*8)*375/746/10,0)</f>
        <v>1081</v>
      </c>
    </row>
    <row r="32" spans="1:3" hidden="1">
      <c r="A32" s="110" t="s">
        <v>250</v>
      </c>
      <c r="B32" s="110"/>
      <c r="C32" s="110">
        <f>ROUNDDOWN(10000000/C23*375/746/10,0)</f>
        <v>1238</v>
      </c>
    </row>
    <row r="33" spans="1:3" hidden="1">
      <c r="A33" s="110" t="s">
        <v>251</v>
      </c>
      <c r="B33" s="110"/>
      <c r="C33" s="110">
        <f>IF(C17=1,MAX(C24,C27,C31,C32),MAX(C24,C27,C31))</f>
        <v>1238</v>
      </c>
    </row>
    <row r="34" spans="1:3" hidden="1">
      <c r="A34" s="110" t="s">
        <v>252</v>
      </c>
      <c r="B34" s="110"/>
      <c r="C34" s="110">
        <f>ROUND(1000000/ROUNDDOWN(C33*10*746/375,0),2)</f>
        <v>40.61</v>
      </c>
    </row>
    <row r="35" spans="1:3" hidden="1">
      <c r="A35" s="110" t="s">
        <v>253</v>
      </c>
      <c r="B35" s="110"/>
      <c r="C35" s="110">
        <f>12500*C18*(100-C19)</f>
        <v>1125000000</v>
      </c>
    </row>
    <row r="36" spans="1:3" hidden="1">
      <c r="A36" s="110" t="s">
        <v>254</v>
      </c>
      <c r="B36" s="110"/>
      <c r="C36" s="110">
        <f>IF((ROUNDDOWN((C35-(62+C13-36)*C29-62-C30-168+C28*24)/(C29+3),0)-12)&gt;C37,C37,ROUNDDOWN((C35-(62+C13-36)*C29-62-C30-168+C28*24)/(C29+3),0)-12)</f>
        <v>180000</v>
      </c>
    </row>
    <row r="37" spans="1:3" hidden="1">
      <c r="A37" s="110" t="s">
        <v>255</v>
      </c>
      <c r="B37" s="110"/>
      <c r="C37" s="110">
        <f>IF(C18=1000,180000,18000)</f>
        <v>180000</v>
      </c>
    </row>
    <row r="38" spans="1:3" hidden="1">
      <c r="A38" s="110" t="s">
        <v>256</v>
      </c>
      <c r="B38" s="110"/>
      <c r="C38" s="110">
        <f>((62+(C13-36))*C29+62+C30+168)+(C14+12)*(C29+3)</f>
        <v>2420668</v>
      </c>
    </row>
    <row r="39" spans="1:3" hidden="1">
      <c r="A39" s="110" t="s">
        <v>253</v>
      </c>
      <c r="B39" s="110"/>
      <c r="C39" s="110">
        <f>125000*C18</f>
        <v>125000000</v>
      </c>
    </row>
    <row r="40" spans="1:3" hidden="1">
      <c r="A40" s="110" t="s">
        <v>257</v>
      </c>
      <c r="B40" s="110"/>
      <c r="C40" s="110">
        <f>IF((100-ROUNDDOWN(C38*10/(1250000*C18/10),0)-1)&lt;0,0,(100-ROUNDDOWN(C38*10/(1250000*C18/10),0)-1))</f>
        <v>99</v>
      </c>
    </row>
    <row r="41" spans="1:3" hidden="1">
      <c r="A41" s="110" t="s">
        <v>258</v>
      </c>
      <c r="B41" s="110"/>
      <c r="C41" s="110">
        <f>ROUNDDOWN((C35-(62+C13-36)*C29-62-C30-168+C28*24)/(C29+3),0)-12</f>
        <v>712296</v>
      </c>
    </row>
    <row r="42" spans="1:3" hidden="1">
      <c r="A42" s="110" t="s">
        <v>415</v>
      </c>
      <c r="B42" s="110"/>
      <c r="C42" s="110">
        <f>INT(1000000000/INT((C33*746*10/375)))</f>
        <v>40605</v>
      </c>
    </row>
    <row r="43" spans="1:3" hidden="1">
      <c r="A43" s="110" t="s">
        <v>416</v>
      </c>
      <c r="B43" s="110"/>
      <c r="C43" s="110">
        <f>INT(C4*C42/10*IF(C12=8,1,2)/10*C5/10)</f>
        <v>93553920</v>
      </c>
    </row>
    <row r="44" spans="1:3" hidden="1">
      <c r="A44" s="110" t="s">
        <v>366</v>
      </c>
      <c r="B44" s="110"/>
      <c r="C44" s="110">
        <f>INT(C43*10/(100-C19)*10)</f>
        <v>103948800</v>
      </c>
    </row>
    <row r="45" spans="1:3" hidden="1">
      <c r="A45" s="110"/>
      <c r="B45" s="110"/>
      <c r="C45" s="110"/>
    </row>
    <row r="46" spans="1:3" hidden="1">
      <c r="A46" s="110" t="s">
        <v>264</v>
      </c>
      <c r="B46" s="110"/>
      <c r="C46" s="110">
        <f>IF(C6=2,2,(IF(C8=2,2,1)))</f>
        <v>1</v>
      </c>
    </row>
    <row r="47" spans="1:3" hidden="1">
      <c r="A47" s="110" t="s">
        <v>265</v>
      </c>
      <c r="B47" s="110"/>
      <c r="C47" s="110">
        <f>IF(C7=2,2,(IF(C9=2,2,1)))</f>
        <v>1</v>
      </c>
    </row>
    <row r="48" spans="1:3" hidden="1">
      <c r="A48" s="110" t="s">
        <v>266</v>
      </c>
      <c r="B48" s="110"/>
      <c r="C48" s="110">
        <f>ROUNDDOWN(C52/4,0)*4*C46</f>
        <v>1920</v>
      </c>
    </row>
    <row r="49" spans="1:4" hidden="1">
      <c r="A49" s="110" t="s">
        <v>267</v>
      </c>
      <c r="B49" s="110"/>
      <c r="C49" s="110">
        <f>ROUNDDOWN(C53/2,0)*2*C47</f>
        <v>1200</v>
      </c>
    </row>
    <row r="50" spans="1:4" hidden="1">
      <c r="A50" s="110" t="s">
        <v>268</v>
      </c>
      <c r="B50" s="110"/>
      <c r="C50" s="110">
        <f>ROUNDDOWN(C4/4,0)*4*C46</f>
        <v>1920</v>
      </c>
    </row>
    <row r="51" spans="1:4" hidden="1">
      <c r="A51" s="110" t="s">
        <v>269</v>
      </c>
      <c r="B51" s="110"/>
      <c r="C51" s="110">
        <f>ROUNDDOWN(C5/2,0)*2*C47</f>
        <v>1200</v>
      </c>
    </row>
    <row r="52" spans="1:4" hidden="1">
      <c r="A52" s="110" t="s">
        <v>270</v>
      </c>
      <c r="B52" s="110"/>
      <c r="C52" s="110">
        <f>ROUNDDOWN(C50/(4*C46),0)*4</f>
        <v>1920</v>
      </c>
    </row>
    <row r="53" spans="1:4" ht="15" hidden="1" customHeight="1">
      <c r="A53" s="110" t="s">
        <v>271</v>
      </c>
      <c r="B53" s="110"/>
      <c r="C53" s="110">
        <f>ROUNDDOWN(C51/(2*C47),0)*2</f>
        <v>1200</v>
      </c>
    </row>
    <row r="54" spans="1:4" ht="12.75" hidden="1" customHeight="1">
      <c r="A54" s="110"/>
      <c r="B54" s="110"/>
      <c r="C54" s="110"/>
    </row>
    <row r="55" spans="1:4" hidden="1">
      <c r="A55" s="110"/>
      <c r="B55" s="110"/>
      <c r="C55" s="110"/>
    </row>
    <row r="56" spans="1:4" ht="14.25" hidden="1">
      <c r="A56" s="118" t="s">
        <v>272</v>
      </c>
      <c r="B56" s="118"/>
      <c r="C56" s="118"/>
    </row>
    <row r="57" spans="1:4" ht="14.25">
      <c r="A57" s="118" t="s">
        <v>252</v>
      </c>
      <c r="B57" s="118" t="s">
        <v>273</v>
      </c>
      <c r="C57" s="118">
        <f>C34</f>
        <v>40.61</v>
      </c>
      <c r="D57" s="120" t="str">
        <f>IF(J8=1,J4,"")</f>
        <v/>
      </c>
    </row>
  </sheetData>
  <sheetProtection sheet="1" objects="1" scenarios="1" selectLockedCells="1"/>
  <phoneticPr fontId="37" type="noConversion"/>
  <conditionalFormatting sqref="C4">
    <cfRule type="cellIs" dxfId="4" priority="2" operator="lessThan">
      <formula>4</formula>
    </cfRule>
    <cfRule type="cellIs" dxfId="3" priority="3" operator="greaterThan">
      <formula>$C$2</formula>
    </cfRule>
  </conditionalFormatting>
  <conditionalFormatting sqref="C5">
    <cfRule type="cellIs" dxfId="2" priority="4" stopIfTrue="1" operator="lessThan">
      <formula>2</formula>
    </cfRule>
    <cfRule type="cellIs" dxfId="1" priority="5" stopIfTrue="1" operator="greaterThan">
      <formula>$C$3</formula>
    </cfRule>
  </conditionalFormatting>
  <conditionalFormatting sqref="C57">
    <cfRule type="expression" dxfId="0" priority="1" stopIfTrue="1">
      <formula>$J$8=1</formula>
    </cfRule>
  </conditionalFormatting>
  <dataValidations count="18">
    <dataValidation type="whole" allowBlank="1" showInputMessage="1" showErrorMessage="1" errorTitle="Input parameter error" error="Input range:[20, 1000000]" sqref="C10">
      <formula1>20</formula1>
      <formula2>1000000</formula2>
    </dataValidation>
    <dataValidation type="custom" allowBlank="1" showInputMessage="1" showErrorMessage="1" errorTitle="Input parameter error" error="Input range:[4, 'WidthMax'],and is an integer multiple of 4" sqref="C4">
      <formula1>AND((C4&lt;=C2),(C4&gt;=4),(MOD(C4,4)=0))</formula1>
    </dataValidation>
    <dataValidation type="custom" allowBlank="1" showInputMessage="1" showErrorMessage="1" errorTitle="Input parameter error" error="Input range:[512, 8192],and is an integer multiple of 4" sqref="C13">
      <formula1>AND((C13&lt;=8192),(C13&gt;=512),(MOD(C13,4)=0))</formula1>
    </dataValidation>
    <dataValidation type="custom" allowBlank="1" showInputMessage="1" showErrorMessage="1" errorTitle="Input parameter error" error="Input range:[2, 'HeightMax'],and is an integer multiple of 2" sqref="C5">
      <formula1>AND((C5&lt;=C3),(C5&gt;=2),(MOD(C5,2)=0))</formula1>
    </dataValidation>
    <dataValidation type="custom" allowBlank="1" showInputMessage="1" showErrorMessage="1" errorTitle="Input parameter error" error="Input 1 or 2, and can not be entered when the 'DecimationHorizontal' is not 1" sqref="C6">
      <formula1>AND(OR((C6=1),(C6=2)),C8=1)</formula1>
    </dataValidation>
    <dataValidation type="custom" allowBlank="1" showInputMessage="1" showErrorMessage="1" errorTitle="Input parameter error" error="Input 1 or 2, and can not be entered when the 'DecimationVertical' is not 1" sqref="C7">
      <formula1>AND(OR((C7=1),(C7=2)),C9=1)</formula1>
    </dataValidation>
    <dataValidation allowBlank="1" showErrorMessage="1" sqref="C2:C3"/>
    <dataValidation type="custom" allowBlank="1" showInputMessage="1" showErrorMessage="1" errorTitle="Input parameter error" error="Input 1 or 2, and can not be entered when the 'BinningVertical' is not 1" sqref="C9">
      <formula1>AND(OR((C9=1),(C9=2)),C7=1)</formula1>
    </dataValidation>
    <dataValidation type="whole" allowBlank="1" showInputMessage="1" showErrorMessage="1" errorTitle="Input parameter error" error="Input range:[0, 5000]" sqref="C11">
      <formula1>0</formula1>
      <formula2>5000</formula2>
    </dataValidation>
    <dataValidation type="custom" allowBlank="1" showInputMessage="1" showErrorMessage="1" errorTitle="Input parameter error" error="Input 1 or 2, and can not be entered when the 'BinningHorizontal' is not 1" sqref="C8">
      <formula1>AND(OR((C8=1),(C8=2)),C6=1)</formula1>
    </dataValidation>
    <dataValidation type="custom" allowBlank="1" showInputMessage="1" showErrorMessage="1" errorTitle="Input parameter error" error="Input 8 or 10" sqref="C12">
      <formula1>OR((C12=8),(C12=10))</formula1>
    </dataValidation>
    <dataValidation type="whole" allowBlank="1" showInputMessage="1" showErrorMessage="1" errorTitle="Input parameter error" error="Input range:[0, 'GevSCPDMaxValue'], and is an integer multiple of 1" sqref="C14">
      <formula1>0</formula1>
      <formula2>C15</formula2>
    </dataValidation>
    <dataValidation type="whole" allowBlank="1" showErrorMessage="1" error="设置值超过最大值" prompt="应在包间隔范围内" sqref="C15">
      <formula1>0</formula1>
      <formula2>C36</formula2>
    </dataValidation>
    <dataValidation type="custom" allowBlank="1" showErrorMessage="1" errorTitle="Input parameter error" error="Input range:[0.1, 10000]" prompt="应在包间隔范围内" sqref="C16">
      <formula1>AND(TRUNC(C16,1)=C16,(C16&gt;=0.1),(C16&lt;=10000))</formula1>
    </dataValidation>
    <dataValidation type="custom" allowBlank="1" showErrorMessage="1" errorTitle="Input parameter error" error="Input 0 or 1" prompt="应在包间隔范围内" sqref="C17">
      <formula1>OR((C17=0),(C17=1))</formula1>
    </dataValidation>
    <dataValidation type="custom" allowBlank="1" showInputMessage="1" showErrorMessage="1" errorTitle="Input parameter error" error="Input 1000 or 100" sqref="C18">
      <formula1>OR((C18=1000),(C18=100))</formula1>
    </dataValidation>
    <dataValidation type="whole" allowBlank="1" showInputMessage="1" showErrorMessage="1" errorTitle="Input parameter error" error="Input range:[0, 'BandwidthReserveMaxValue'], and is an integer multiple of 1" sqref="C19">
      <formula1>0</formula1>
      <formula2>C20</formula2>
    </dataValidation>
    <dataValidation type="whole" allowBlank="1" error="设置值超过包间隔范围" prompt="设置值应在预留带宽范围内" sqref="C20">
      <formula1>0</formula1>
      <formula2>C40</formula2>
    </dataValidation>
  </dataValidations>
  <pageMargins left="0.7" right="0.7" top="0.75" bottom="0.75" header="0.3" footer="0.3"/>
  <pageSetup paperSize="9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B1" workbookViewId="0">
      <selection activeCell="C4" sqref="C4"/>
    </sheetView>
  </sheetViews>
  <sheetFormatPr defaultColWidth="9" defaultRowHeight="13.5"/>
  <cols>
    <col min="1" max="1" width="15.75" hidden="1" customWidth="1"/>
    <col min="2" max="2" width="28.5" customWidth="1"/>
    <col min="3" max="3" width="16.375" customWidth="1"/>
    <col min="9" max="9" width="9" customWidth="1"/>
    <col min="10" max="10" width="25.75" hidden="1" customWidth="1"/>
  </cols>
  <sheetData>
    <row r="1" spans="1:4" ht="15.75" customHeight="1">
      <c r="A1" s="104" t="s">
        <v>197</v>
      </c>
      <c r="B1" s="104"/>
      <c r="C1" s="107"/>
    </row>
    <row r="2" spans="1:4">
      <c r="A2" s="104" t="s">
        <v>198</v>
      </c>
      <c r="B2" s="104" t="s">
        <v>199</v>
      </c>
      <c r="C2" s="104">
        <f>C45</f>
        <v>2448</v>
      </c>
    </row>
    <row r="3" spans="1:4">
      <c r="A3" s="104" t="s">
        <v>200</v>
      </c>
      <c r="B3" s="104" t="s">
        <v>201</v>
      </c>
      <c r="C3" s="104">
        <f>C46</f>
        <v>2048</v>
      </c>
    </row>
    <row r="4" spans="1:4">
      <c r="A4" s="104" t="s">
        <v>202</v>
      </c>
      <c r="B4" s="104" t="s">
        <v>203</v>
      </c>
      <c r="C4" s="107">
        <v>2448</v>
      </c>
      <c r="D4" s="105" t="str">
        <f>IF(OR(C4&gt;C2,C4&lt;64),J62,"")</f>
        <v/>
      </c>
    </row>
    <row r="5" spans="1:4">
      <c r="A5" s="104" t="s">
        <v>204</v>
      </c>
      <c r="B5" s="104" t="s">
        <v>205</v>
      </c>
      <c r="C5" s="107">
        <v>2048</v>
      </c>
      <c r="D5" s="105" t="str">
        <f>IF(OR(C5&gt;C3,C5&lt;4),J63,"")</f>
        <v/>
      </c>
    </row>
    <row r="6" spans="1:4">
      <c r="A6" s="104" t="s">
        <v>206</v>
      </c>
      <c r="B6" s="104" t="s">
        <v>207</v>
      </c>
      <c r="C6" s="107">
        <v>1</v>
      </c>
    </row>
    <row r="7" spans="1:4">
      <c r="A7" s="104" t="s">
        <v>208</v>
      </c>
      <c r="B7" s="104" t="s">
        <v>209</v>
      </c>
      <c r="C7" s="107">
        <v>1</v>
      </c>
    </row>
    <row r="8" spans="1:4">
      <c r="A8" s="104" t="s">
        <v>210</v>
      </c>
      <c r="B8" s="104" t="s">
        <v>211</v>
      </c>
      <c r="C8" s="107">
        <v>1</v>
      </c>
    </row>
    <row r="9" spans="1:4">
      <c r="A9" s="104" t="s">
        <v>212</v>
      </c>
      <c r="B9" s="104" t="s">
        <v>213</v>
      </c>
      <c r="C9" s="107">
        <v>1</v>
      </c>
    </row>
    <row r="10" spans="1:4">
      <c r="A10" s="104" t="s">
        <v>214</v>
      </c>
      <c r="B10" s="104" t="s">
        <v>215</v>
      </c>
      <c r="C10" s="107">
        <v>40000</v>
      </c>
    </row>
    <row r="11" spans="1:4">
      <c r="A11" s="104" t="s">
        <v>216</v>
      </c>
      <c r="B11" s="104" t="s">
        <v>217</v>
      </c>
      <c r="C11" s="107">
        <v>0</v>
      </c>
    </row>
    <row r="12" spans="1:4">
      <c r="A12" s="104" t="s">
        <v>218</v>
      </c>
      <c r="B12" s="104" t="s">
        <v>279</v>
      </c>
      <c r="C12" s="107">
        <v>8</v>
      </c>
    </row>
    <row r="13" spans="1:4">
      <c r="A13" s="104" t="s">
        <v>220</v>
      </c>
      <c r="B13" s="104" t="s">
        <v>221</v>
      </c>
      <c r="C13" s="107">
        <v>1500</v>
      </c>
    </row>
    <row r="14" spans="1:4">
      <c r="A14" s="104" t="s">
        <v>222</v>
      </c>
      <c r="B14" s="104" t="s">
        <v>223</v>
      </c>
      <c r="C14" s="107">
        <v>0</v>
      </c>
    </row>
    <row r="15" spans="1:4">
      <c r="A15" s="104" t="s">
        <v>224</v>
      </c>
      <c r="B15" s="104" t="s">
        <v>225</v>
      </c>
      <c r="C15" s="104">
        <f>C36</f>
        <v>180000</v>
      </c>
    </row>
    <row r="16" spans="1:4">
      <c r="A16" s="104" t="s">
        <v>226</v>
      </c>
      <c r="B16" s="104" t="s">
        <v>227</v>
      </c>
      <c r="C16" s="107">
        <v>21.4</v>
      </c>
    </row>
    <row r="17" spans="1:3">
      <c r="A17" s="104" t="s">
        <v>228</v>
      </c>
      <c r="B17" s="104" t="s">
        <v>229</v>
      </c>
      <c r="C17" s="107">
        <v>0</v>
      </c>
    </row>
    <row r="18" spans="1:3">
      <c r="A18" s="104" t="s">
        <v>230</v>
      </c>
      <c r="B18" s="104" t="s">
        <v>231</v>
      </c>
      <c r="C18" s="107">
        <v>1000</v>
      </c>
    </row>
    <row r="19" spans="1:3">
      <c r="A19" s="104" t="s">
        <v>232</v>
      </c>
      <c r="B19" s="104" t="s">
        <v>233</v>
      </c>
      <c r="C19" s="107">
        <v>10</v>
      </c>
    </row>
    <row r="20" spans="1:3">
      <c r="A20" s="104" t="s">
        <v>234</v>
      </c>
      <c r="B20" s="104" t="s">
        <v>235</v>
      </c>
      <c r="C20" s="104">
        <f>C40</f>
        <v>99</v>
      </c>
    </row>
    <row r="21" spans="1:3" ht="14.25" customHeight="1">
      <c r="A21" s="104"/>
      <c r="B21" s="104"/>
      <c r="C21" s="104"/>
    </row>
    <row r="22" spans="1:3" hidden="1">
      <c r="A22" s="117"/>
      <c r="B22" s="104"/>
      <c r="C22" s="104"/>
    </row>
    <row r="23" spans="1:3" hidden="1">
      <c r="A23" s="117" t="s">
        <v>236</v>
      </c>
      <c r="B23" s="104"/>
      <c r="C23" s="110">
        <f>C16*10</f>
        <v>214</v>
      </c>
    </row>
    <row r="24" spans="1:3" hidden="1">
      <c r="A24" s="117" t="s">
        <v>237</v>
      </c>
      <c r="B24" s="110"/>
      <c r="C24" s="110">
        <f>(C5+32)</f>
        <v>2080</v>
      </c>
    </row>
    <row r="25" spans="1:3" hidden="1">
      <c r="A25" s="117" t="s">
        <v>238</v>
      </c>
      <c r="B25" s="110"/>
      <c r="C25" s="110">
        <f>MAX(ROUNDUP((C10*1000-13730)/C42,0),1)</f>
        <v>2966</v>
      </c>
    </row>
    <row r="26" spans="1:3" hidden="1">
      <c r="A26" s="117" t="s">
        <v>239</v>
      </c>
      <c r="B26" s="110"/>
      <c r="C26" s="110">
        <f>ROUNDUP(C11*1000/C42,0)</f>
        <v>0</v>
      </c>
    </row>
    <row r="27" spans="1:3" hidden="1">
      <c r="A27" s="117" t="s">
        <v>240</v>
      </c>
      <c r="B27" s="110"/>
      <c r="C27" s="110">
        <f>C25+C26+12</f>
        <v>2978</v>
      </c>
    </row>
    <row r="28" spans="1:3" hidden="1">
      <c r="A28" s="117" t="s">
        <v>241</v>
      </c>
      <c r="B28" s="110"/>
      <c r="C28" s="110">
        <v>0</v>
      </c>
    </row>
    <row r="29" spans="1:3" hidden="1">
      <c r="A29" s="117" t="s">
        <v>243</v>
      </c>
      <c r="B29" s="110"/>
      <c r="C29" s="110">
        <f>ROUNDDOWN((C4*C5*ROUNDUP(C12/8,0)+C28*32)/(C13-36),0)</f>
        <v>3424</v>
      </c>
    </row>
    <row r="30" spans="1:3" hidden="1">
      <c r="A30" s="117" t="s">
        <v>244</v>
      </c>
      <c r="B30" s="110"/>
      <c r="C30" s="110">
        <f>C4*C5*ROUNDUP(C12/8,0)+C28*32-(C13-36)*C29</f>
        <v>768</v>
      </c>
    </row>
    <row r="31" spans="1:3" hidden="1">
      <c r="A31" s="110" t="s">
        <v>249</v>
      </c>
      <c r="B31" s="110"/>
      <c r="C31" s="110">
        <f>ROUNDDOWN((ROUNDUP((((62+(C13-36))*C29+62+C30+(168-C28*24))+(C14+12)*(C29+3))/ROUNDDOWN(C18*(100-C19)/100,0),0)*8)*540/C43/10,0)</f>
        <v>3473</v>
      </c>
    </row>
    <row r="32" spans="1:3" hidden="1">
      <c r="A32" s="110" t="s">
        <v>250</v>
      </c>
      <c r="B32" s="110"/>
      <c r="C32" s="110">
        <f>ROUNDUP(10000000000/C23/C42,0)</f>
        <v>3467</v>
      </c>
    </row>
    <row r="33" spans="1:3" hidden="1">
      <c r="A33" s="110" t="s">
        <v>251</v>
      </c>
      <c r="B33" s="110"/>
      <c r="C33" s="110">
        <f>IF(C17=1,MAX(C24,C27,C31,C32),MAX(C24,C27,C31))</f>
        <v>3473</v>
      </c>
    </row>
    <row r="34" spans="1:3" hidden="1">
      <c r="A34" s="110" t="s">
        <v>252</v>
      </c>
      <c r="B34" s="110"/>
      <c r="C34" s="110">
        <f>ROUND(1000000/ROUNDDOWN(C33*10*C43/540,0),2)</f>
        <v>21.36</v>
      </c>
    </row>
    <row r="35" spans="1:3" hidden="1">
      <c r="A35" s="110" t="s">
        <v>253</v>
      </c>
      <c r="B35" s="110"/>
      <c r="C35" s="110">
        <f>12500*C18*(100-C19)</f>
        <v>1125000000</v>
      </c>
    </row>
    <row r="36" spans="1:3" hidden="1">
      <c r="A36" s="110" t="s">
        <v>254</v>
      </c>
      <c r="B36" s="110"/>
      <c r="C36" s="110">
        <f>IF((ROUNDDOWN((C35-(62+C13-36)*C29-62-C30-168+C28*24)/(C29+3),0)-12)&gt;C37,C37,ROUNDDOWN((C35-(62+C13-36)*C29-62-C30-168+C28*24)/(C29+3),0)-12)</f>
        <v>180000</v>
      </c>
    </row>
    <row r="37" spans="1:3" hidden="1">
      <c r="A37" s="110" t="s">
        <v>255</v>
      </c>
      <c r="B37" s="110"/>
      <c r="C37" s="110">
        <f>IF(C18=1000,180000,18000)</f>
        <v>180000</v>
      </c>
    </row>
    <row r="38" spans="1:3" hidden="1">
      <c r="A38" s="110" t="s">
        <v>256</v>
      </c>
      <c r="B38" s="110"/>
      <c r="C38" s="110">
        <f>((62+(C13-36))*C29+62+C30+168)+(C14+12)*(C29+3)</f>
        <v>5267146</v>
      </c>
    </row>
    <row r="39" spans="1:3" hidden="1">
      <c r="A39" s="110" t="s">
        <v>253</v>
      </c>
      <c r="B39" s="110"/>
      <c r="C39" s="110">
        <f>125000*C18</f>
        <v>125000000</v>
      </c>
    </row>
    <row r="40" spans="1:3" hidden="1">
      <c r="A40" s="110" t="s">
        <v>257</v>
      </c>
      <c r="B40" s="110"/>
      <c r="C40" s="110">
        <f>IF((100-ROUNDDOWN(C38*10/(1250000*C18/10),0)-1)&lt;0,0,(100-ROUNDDOWN(C38*10/(1250000*C18/10),0)-1))</f>
        <v>99</v>
      </c>
    </row>
    <row r="41" spans="1:3" hidden="1">
      <c r="A41" s="110" t="s">
        <v>258</v>
      </c>
      <c r="B41" s="110"/>
      <c r="C41" s="110">
        <f>ROUNDDOWN((C35-(62+C13-36)*C29-62-C30-168+C28*24)/(C29+3),0)-12</f>
        <v>326738</v>
      </c>
    </row>
    <row r="42" spans="1:3" hidden="1">
      <c r="A42" s="110" t="s">
        <v>259</v>
      </c>
      <c r="B42" s="110"/>
      <c r="C42" s="110">
        <f>ROUNDUP(1000000*C43/54000,0)</f>
        <v>13482</v>
      </c>
    </row>
    <row r="43" spans="1:3" hidden="1">
      <c r="A43" s="110" t="s">
        <v>260</v>
      </c>
      <c r="B43" s="110"/>
      <c r="C43" s="110">
        <f>728*ROUNDUP(C12/8,0)</f>
        <v>728</v>
      </c>
    </row>
    <row r="44" spans="1:3" s="100" customFormat="1" ht="15" hidden="1" customHeight="1">
      <c r="A44" s="109"/>
      <c r="B44" s="109"/>
      <c r="C44" s="109"/>
    </row>
    <row r="45" spans="1:3" hidden="1">
      <c r="A45" s="110" t="s">
        <v>262</v>
      </c>
      <c r="B45" s="110"/>
      <c r="C45" s="110">
        <f>ROUNDDOWN(2448/(4*C47),0)*4</f>
        <v>2448</v>
      </c>
    </row>
    <row r="46" spans="1:3" hidden="1">
      <c r="A46" s="110" t="s">
        <v>263</v>
      </c>
      <c r="B46" s="110"/>
      <c r="C46" s="110">
        <f>ROUNDDOWN(2048/(2*C48),0)*2</f>
        <v>2048</v>
      </c>
    </row>
    <row r="47" spans="1:3" hidden="1">
      <c r="A47" s="110" t="s">
        <v>264</v>
      </c>
      <c r="B47" s="110"/>
      <c r="C47" s="110">
        <f>IF(C6=1,C8,C6)</f>
        <v>1</v>
      </c>
    </row>
    <row r="48" spans="1:3" hidden="1">
      <c r="A48" s="110" t="s">
        <v>265</v>
      </c>
      <c r="B48" s="110"/>
      <c r="C48" s="110">
        <f>IF(C7=1,C9,C7)</f>
        <v>1</v>
      </c>
    </row>
    <row r="49" spans="1:10" hidden="1">
      <c r="A49" s="110" t="s">
        <v>266</v>
      </c>
      <c r="B49" s="110"/>
      <c r="C49" s="110">
        <f>ROUNDDOWN(C53/4,0)*4*C47</f>
        <v>2448</v>
      </c>
    </row>
    <row r="50" spans="1:10" hidden="1">
      <c r="A50" s="110" t="s">
        <v>267</v>
      </c>
      <c r="B50" s="110"/>
      <c r="C50" s="110">
        <f>ROUNDDOWN(C54/2,0)*2*C48</f>
        <v>2048</v>
      </c>
    </row>
    <row r="51" spans="1:10" hidden="1">
      <c r="A51" s="110" t="s">
        <v>268</v>
      </c>
      <c r="B51" s="110"/>
      <c r="C51" s="110">
        <f>ROUNDDOWN(C4/4,0)*4*C47</f>
        <v>2448</v>
      </c>
    </row>
    <row r="52" spans="1:10" hidden="1">
      <c r="A52" s="110" t="s">
        <v>269</v>
      </c>
      <c r="B52" s="110"/>
      <c r="C52" s="110">
        <f>ROUNDDOWN(C5/2,0)*2*C48</f>
        <v>2048</v>
      </c>
    </row>
    <row r="53" spans="1:10" hidden="1">
      <c r="A53" s="110" t="s">
        <v>270</v>
      </c>
      <c r="B53" s="110"/>
      <c r="C53" s="110">
        <f>ROUNDDOWN(C51/(4*C47),0)*4</f>
        <v>2448</v>
      </c>
    </row>
    <row r="54" spans="1:10" hidden="1">
      <c r="A54" s="110" t="s">
        <v>271</v>
      </c>
      <c r="B54" s="110"/>
      <c r="C54" s="110">
        <f>ROUNDDOWN(C52/(2*C48),0)*2</f>
        <v>2048</v>
      </c>
    </row>
    <row r="55" spans="1:10" hidden="1">
      <c r="A55" s="110"/>
      <c r="B55" s="110"/>
      <c r="C55" s="110"/>
    </row>
    <row r="56" spans="1:10" ht="14.25">
      <c r="A56" s="118" t="s">
        <v>272</v>
      </c>
      <c r="B56" s="118"/>
      <c r="C56" s="118"/>
    </row>
    <row r="57" spans="1:10" ht="14.25">
      <c r="A57" s="118" t="s">
        <v>252</v>
      </c>
      <c r="B57" s="118" t="s">
        <v>273</v>
      </c>
      <c r="C57" s="118">
        <f>C34</f>
        <v>21.36</v>
      </c>
      <c r="D57" s="105" t="str">
        <f>IF(J68=1,J64,"")</f>
        <v/>
      </c>
    </row>
    <row r="61" spans="1:10" ht="27">
      <c r="J61" s="119" t="s">
        <v>274</v>
      </c>
    </row>
    <row r="62" spans="1:10">
      <c r="J62" t="s">
        <v>1221</v>
      </c>
    </row>
    <row r="63" spans="1:10">
      <c r="J63" t="s">
        <v>1222</v>
      </c>
    </row>
    <row r="64" spans="1:10">
      <c r="J64" t="s">
        <v>277</v>
      </c>
    </row>
    <row r="67" spans="1:10">
      <c r="J67" t="s">
        <v>278</v>
      </c>
    </row>
    <row r="68" spans="1:10">
      <c r="A68" t="str">
        <f>IF(J95=1,J91,"")</f>
        <v/>
      </c>
      <c r="J68">
        <f>IF(OR(OR(C4&gt;C2,C4&lt;64),OR(C5&gt;C3,C5&lt;4)),1,0)</f>
        <v>0</v>
      </c>
    </row>
  </sheetData>
  <sheetProtection password="DE11" sheet="1" objects="1" selectLockedCells="1"/>
  <phoneticPr fontId="37" type="noConversion"/>
  <dataValidations count="19">
    <dataValidation allowBlank="1" showErrorMessage="1" promptTitle="参数变化" prompt="该参数会根据当前生效的水平像素Binning、水平像素抽样变化" sqref="C2"/>
    <dataValidation type="whole" allowBlank="1" showErrorMessage="1" error="The setting value exceeds the reserved bandwidth range" prompt="设置值应在预留带宽范围内" sqref="C20">
      <formula1>0</formula1>
      <formula2>C40</formula2>
    </dataValidation>
    <dataValidation type="custom" allowBlank="1" showInputMessage="1" showErrorMessage="1" error="Input range:[4,'HeightMax'],and is an integer multiple of 4" sqref="C5">
      <formula1>AND((C5&lt;=C3),(C5&gt;=4),(MOD(C5,2)=0))</formula1>
    </dataValidation>
    <dataValidation type="custom" allowBlank="1" showInputMessage="1" showErrorMessage="1" error="Input range:[64,'WidthMax'],and is an integer multiple of 4" sqref="C4">
      <formula1>AND((C4&lt;=C2),(C4&gt;=64),(MOD(C4,4)=0))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The input parameter value is 1 or 2, and cannot be entered if the horizontal pixel sampling is not 1" sqref="C6">
      <formula1>AND(OR((C6=1),(C6=2)),C8=1)</formula1>
    </dataValidation>
    <dataValidation type="custom" allowBlank="1" showInputMessage="1" showErrorMessage="1" error="The input parameter value is 1 or 2, and cannot be entered if the vertical pixel sampling is not 1" sqref="C7">
      <formula1>AND(OR((C7=1),(C7=2)),C9=1)</formula1>
    </dataValidation>
    <dataValidation type="custom" allowBlank="1" showInputMessage="1" showErrorMessage="1" error="The input parameter has a value of 1 or 2 and cannot be entered when the horizontal pixel Binning is not 1" sqref="C8">
      <formula1>AND(OR((C8=1),(C8=2)),C6=1)</formula1>
    </dataValidation>
    <dataValidation type="custom" allowBlank="1" showInputMessage="1" showErrorMessage="1" error="The input parameter value is 1 or 2 and cannot be entered when the vertical pixel Binning is not 1" sqref="C9">
      <formula1>AND(OR((C9=1),(C9=2)),C7=1)</formula1>
    </dataValidation>
    <dataValidation type="whole" allowBlank="1" showInputMessage="1" showErrorMessage="1" error="The input range :[20,1000000]" sqref="C10">
      <formula1>20</formula1>
      <formula2>1000000</formula2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Please enter 8 or 10" sqref="C12">
      <formula1>OR((C12=8),(C12=10))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type="whole" allowBlank="1" showErrorMessage="1" error="Set the value to exceed the maximum" prompt="应在包间隔范围内" sqref="C15">
      <formula1>0</formula1>
      <formula2>C36</formula2>
    </dataValidation>
    <dataValidation type="custom" allowBlank="1" showErrorMessage="1" error="Set the value range :[ 0.1,10000.0], accurate to one decimal" prompt="应在包间隔范围内" sqref="C16">
      <formula1>AND(TRUNC(C16,1)=C16,(C16&gt;=0.1),(C16&lt;=10000))</formula1>
    </dataValidation>
    <dataValidation type="custom" allowBlank="1" showErrorMessage="1" error="Please enter a 0 or 1" prompt="应在包间隔范围内" sqref="C17">
      <formula1>OR((C17=0),(C17=1))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</dataValidations>
  <pageMargins left="0.7" right="0.7" top="0.75" bottom="0.75" header="0.3" footer="0.3"/>
  <pageSetup paperSize="9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opLeftCell="B1" workbookViewId="0">
      <selection activeCell="C4" sqref="C4"/>
    </sheetView>
  </sheetViews>
  <sheetFormatPr defaultColWidth="9" defaultRowHeight="13.5"/>
  <cols>
    <col min="1" max="1" width="18.125" style="101" hidden="1" customWidth="1"/>
    <col min="2" max="2" width="32.5" style="101" customWidth="1"/>
    <col min="3" max="3" width="14.75" style="101" customWidth="1"/>
    <col min="4" max="4" width="14.125" style="101" customWidth="1"/>
    <col min="5" max="5" width="17.375" style="101" customWidth="1"/>
    <col min="6" max="9" width="9" style="101"/>
    <col min="10" max="10" width="22.75" style="101" hidden="1" customWidth="1"/>
    <col min="11" max="16384" width="9" style="101"/>
  </cols>
  <sheetData>
    <row r="1" spans="1:4" s="100" customFormat="1">
      <c r="A1" s="102" t="s">
        <v>197</v>
      </c>
      <c r="B1" s="102"/>
      <c r="C1" s="103"/>
    </row>
    <row r="2" spans="1:4" customFormat="1">
      <c r="A2" s="104" t="s">
        <v>198</v>
      </c>
      <c r="B2" s="104" t="s">
        <v>199</v>
      </c>
      <c r="C2" s="104">
        <f>C71</f>
        <v>3088</v>
      </c>
    </row>
    <row r="3" spans="1:4" customFormat="1">
      <c r="A3" s="104" t="s">
        <v>200</v>
      </c>
      <c r="B3" s="104" t="s">
        <v>201</v>
      </c>
      <c r="C3" s="104">
        <f>C72</f>
        <v>2064</v>
      </c>
    </row>
    <row r="4" spans="1:4" s="100" customFormat="1">
      <c r="A4" s="102" t="s">
        <v>202</v>
      </c>
      <c r="B4" s="102" t="s">
        <v>203</v>
      </c>
      <c r="C4" s="103">
        <v>3088</v>
      </c>
      <c r="D4" s="105" t="str">
        <f>IF(OR(C4&gt;C2,C4&lt;4),J91,"")</f>
        <v/>
      </c>
    </row>
    <row r="5" spans="1:4" s="100" customFormat="1">
      <c r="A5" s="102" t="s">
        <v>204</v>
      </c>
      <c r="B5" s="102" t="s">
        <v>205</v>
      </c>
      <c r="C5" s="103">
        <v>2064</v>
      </c>
      <c r="D5" s="106" t="str">
        <f>IF(OR(C5&gt;C3,C5&lt;2),J92,"")</f>
        <v/>
      </c>
    </row>
    <row r="6" spans="1:4" customFormat="1" hidden="1">
      <c r="A6" s="104" t="s">
        <v>206</v>
      </c>
      <c r="B6" s="104" t="s">
        <v>207</v>
      </c>
      <c r="C6" s="107">
        <v>1</v>
      </c>
    </row>
    <row r="7" spans="1:4" customFormat="1" hidden="1">
      <c r="A7" s="104" t="s">
        <v>208</v>
      </c>
      <c r="B7" s="104" t="s">
        <v>209</v>
      </c>
      <c r="C7" s="107">
        <v>1</v>
      </c>
    </row>
    <row r="8" spans="1:4" customFormat="1">
      <c r="A8" s="104" t="s">
        <v>210</v>
      </c>
      <c r="B8" s="104" t="s">
        <v>211</v>
      </c>
      <c r="C8" s="107">
        <v>1</v>
      </c>
    </row>
    <row r="9" spans="1:4" customFormat="1">
      <c r="A9" s="104" t="s">
        <v>212</v>
      </c>
      <c r="B9" s="104" t="s">
        <v>213</v>
      </c>
      <c r="C9" s="107">
        <v>1</v>
      </c>
    </row>
    <row r="10" spans="1:4" s="100" customFormat="1">
      <c r="A10" s="102" t="s">
        <v>214</v>
      </c>
      <c r="B10" s="102" t="s">
        <v>215</v>
      </c>
      <c r="C10" s="103">
        <v>50000</v>
      </c>
    </row>
    <row r="11" spans="1:4" s="100" customFormat="1">
      <c r="A11" s="102"/>
      <c r="B11" s="102" t="s">
        <v>217</v>
      </c>
      <c r="C11" s="103">
        <v>0</v>
      </c>
    </row>
    <row r="12" spans="1:4" s="100" customFormat="1">
      <c r="A12" s="102" t="s">
        <v>218</v>
      </c>
      <c r="B12" s="102" t="s">
        <v>219</v>
      </c>
      <c r="C12" s="103">
        <v>8</v>
      </c>
    </row>
    <row r="13" spans="1:4" s="100" customFormat="1">
      <c r="A13" s="102" t="s">
        <v>220</v>
      </c>
      <c r="B13" s="102" t="s">
        <v>221</v>
      </c>
      <c r="C13" s="103">
        <v>1500</v>
      </c>
    </row>
    <row r="14" spans="1:4" s="100" customFormat="1">
      <c r="A14" s="102" t="s">
        <v>222</v>
      </c>
      <c r="B14" s="102" t="s">
        <v>223</v>
      </c>
      <c r="C14" s="103">
        <v>0</v>
      </c>
    </row>
    <row r="15" spans="1:4" s="100" customFormat="1">
      <c r="A15" s="102" t="s">
        <v>224</v>
      </c>
      <c r="B15" s="102" t="s">
        <v>225</v>
      </c>
      <c r="C15" s="102">
        <f>C55</f>
        <v>180000</v>
      </c>
    </row>
    <row r="16" spans="1:4" s="100" customFormat="1">
      <c r="A16" s="102" t="s">
        <v>230</v>
      </c>
      <c r="B16" s="102" t="s">
        <v>231</v>
      </c>
      <c r="C16" s="103">
        <v>1000</v>
      </c>
    </row>
    <row r="17" spans="1:3" s="100" customFormat="1">
      <c r="A17" s="102" t="s">
        <v>232</v>
      </c>
      <c r="B17" s="102" t="s">
        <v>233</v>
      </c>
      <c r="C17" s="103">
        <v>10</v>
      </c>
    </row>
    <row r="18" spans="1:3" s="100" customFormat="1">
      <c r="A18" s="102" t="s">
        <v>234</v>
      </c>
      <c r="B18" s="102" t="s">
        <v>235</v>
      </c>
      <c r="C18" s="102">
        <f>C59</f>
        <v>99</v>
      </c>
    </row>
    <row r="19" spans="1:3" s="100" customFormat="1">
      <c r="A19" s="102" t="s">
        <v>280</v>
      </c>
      <c r="B19" s="103" t="s">
        <v>428</v>
      </c>
      <c r="C19" s="103">
        <v>0</v>
      </c>
    </row>
    <row r="20" spans="1:3" s="100" customFormat="1" ht="15" customHeight="1">
      <c r="A20" s="102" t="s">
        <v>226</v>
      </c>
      <c r="B20" s="102" t="s">
        <v>227</v>
      </c>
      <c r="C20" s="103">
        <v>18.399999999999999</v>
      </c>
    </row>
    <row r="21" spans="1:3" s="100" customFormat="1">
      <c r="A21" s="102" t="s">
        <v>228</v>
      </c>
      <c r="B21" s="102" t="s">
        <v>229</v>
      </c>
      <c r="C21" s="103">
        <v>0</v>
      </c>
    </row>
    <row r="22" spans="1:3" s="100" customFormat="1">
      <c r="A22" s="102"/>
      <c r="B22" s="102"/>
      <c r="C22" s="102"/>
    </row>
    <row r="23" spans="1:3" s="100" customFormat="1" hidden="1">
      <c r="A23" s="108" t="s">
        <v>906</v>
      </c>
      <c r="B23" s="108" t="s">
        <v>373</v>
      </c>
      <c r="C23" s="108">
        <v>37500</v>
      </c>
    </row>
    <row r="24" spans="1:3" s="100" customFormat="1" ht="27" hidden="1">
      <c r="A24" s="108" t="s">
        <v>907</v>
      </c>
      <c r="B24" s="108" t="s">
        <v>908</v>
      </c>
      <c r="C24" s="108">
        <v>720</v>
      </c>
    </row>
    <row r="25" spans="1:3" s="100" customFormat="1" hidden="1">
      <c r="A25" s="108" t="s">
        <v>909</v>
      </c>
      <c r="B25" s="108" t="s">
        <v>396</v>
      </c>
      <c r="C25" s="108">
        <f>ROUNDUP(C24*(1000000/C23),0)</f>
        <v>19200</v>
      </c>
    </row>
    <row r="26" spans="1:3" s="100" customFormat="1" hidden="1">
      <c r="A26" s="108" t="s">
        <v>910</v>
      </c>
      <c r="B26" s="108" t="s">
        <v>911</v>
      </c>
      <c r="C26" s="108">
        <v>42</v>
      </c>
    </row>
    <row r="27" spans="1:3" s="100" customFormat="1" ht="40.5" hidden="1">
      <c r="A27" s="108" t="s">
        <v>912</v>
      </c>
      <c r="B27" s="108" t="s">
        <v>913</v>
      </c>
      <c r="C27" s="108">
        <v>28</v>
      </c>
    </row>
    <row r="28" spans="1:3" s="100" customFormat="1" ht="54" hidden="1">
      <c r="A28" s="108" t="s">
        <v>914</v>
      </c>
      <c r="B28" s="108" t="s">
        <v>915</v>
      </c>
      <c r="C28" s="108">
        <v>7</v>
      </c>
    </row>
    <row r="29" spans="1:3" s="100" customFormat="1" hidden="1">
      <c r="A29" s="108" t="s">
        <v>916</v>
      </c>
      <c r="B29" s="108" t="s">
        <v>916</v>
      </c>
      <c r="C29" s="108">
        <v>8</v>
      </c>
    </row>
    <row r="30" spans="1:3" s="100" customFormat="1" ht="27" hidden="1">
      <c r="A30" s="108" t="s">
        <v>917</v>
      </c>
      <c r="B30" s="108" t="s">
        <v>918</v>
      </c>
      <c r="C30" s="108">
        <v>2000</v>
      </c>
    </row>
    <row r="31" spans="1:3" s="100" customFormat="1" hidden="1">
      <c r="A31" s="108" t="s">
        <v>919</v>
      </c>
      <c r="B31" s="108" t="s">
        <v>920</v>
      </c>
      <c r="C31" s="108">
        <v>1200</v>
      </c>
    </row>
    <row r="32" spans="1:3" s="100" customFormat="1" hidden="1">
      <c r="A32" s="108" t="s">
        <v>921</v>
      </c>
      <c r="B32" s="108" t="s">
        <v>922</v>
      </c>
      <c r="C32" s="108">
        <v>320</v>
      </c>
    </row>
    <row r="33" spans="1:3" s="100" customFormat="1" hidden="1">
      <c r="A33" s="108" t="s">
        <v>923</v>
      </c>
      <c r="B33" s="102"/>
      <c r="C33" s="109">
        <v>16</v>
      </c>
    </row>
    <row r="34" spans="1:3" s="100" customFormat="1" hidden="1">
      <c r="A34" s="108" t="s">
        <v>237</v>
      </c>
      <c r="B34" s="109"/>
      <c r="C34" s="109">
        <f>C27+MAX(MAX(C5,C32)+C26-C27,2+C28)</f>
        <v>2106</v>
      </c>
    </row>
    <row r="35" spans="1:3" s="100" customFormat="1" hidden="1">
      <c r="A35" s="108" t="s">
        <v>250</v>
      </c>
      <c r="B35" s="109"/>
      <c r="C35" s="109">
        <f>ROUNDDOWN(1000000000/C20/C25,0)*C21</f>
        <v>0</v>
      </c>
    </row>
    <row r="36" spans="1:3" s="100" customFormat="1" hidden="1">
      <c r="A36" s="108" t="s">
        <v>240</v>
      </c>
      <c r="B36" s="109"/>
      <c r="C36" s="109">
        <f>ROUNDUP(C10*1000/C25,0)+C29</f>
        <v>2613</v>
      </c>
    </row>
    <row r="37" spans="1:3" s="100" customFormat="1" hidden="1">
      <c r="A37" s="108" t="s">
        <v>413</v>
      </c>
      <c r="B37" s="109"/>
      <c r="C37" s="109">
        <f>C34+C36+ROUNDUP(C11*1000/C25,0)+C33*2</f>
        <v>4751</v>
      </c>
    </row>
    <row r="38" spans="1:3" s="100" customFormat="1" hidden="1">
      <c r="A38" s="108"/>
      <c r="B38" s="109"/>
      <c r="C38" s="109"/>
    </row>
    <row r="39" spans="1:3" s="100" customFormat="1" hidden="1">
      <c r="A39" s="108" t="s">
        <v>779</v>
      </c>
      <c r="B39" s="109"/>
      <c r="C39" s="109">
        <v>0</v>
      </c>
    </row>
    <row r="40" spans="1:3" s="100" customFormat="1" hidden="1">
      <c r="A40" s="108" t="s">
        <v>242</v>
      </c>
      <c r="B40" s="109"/>
      <c r="C40" s="109">
        <f>C4*C5*IF(C12=8,1,2)+C39*32</f>
        <v>6373632</v>
      </c>
    </row>
    <row r="41" spans="1:3" s="100" customFormat="1" hidden="1">
      <c r="A41" s="108" t="s">
        <v>346</v>
      </c>
      <c r="B41" s="109"/>
      <c r="C41" s="109">
        <f>INT(C40/(C13-36))</f>
        <v>4353</v>
      </c>
    </row>
    <row r="42" spans="1:3" s="100" customFormat="1" hidden="1">
      <c r="A42" s="108" t="s">
        <v>244</v>
      </c>
      <c r="B42" s="109"/>
      <c r="C42" s="109">
        <f>IF((C40-(C13-36)*C41)&lt;64,64,(C40-(C13-36)*C41))</f>
        <v>840</v>
      </c>
    </row>
    <row r="43" spans="1:3" s="100" customFormat="1" hidden="1">
      <c r="A43" s="108" t="s">
        <v>245</v>
      </c>
      <c r="B43" s="109"/>
      <c r="C43" s="109">
        <f>IF(C42=0,0,1)</f>
        <v>1</v>
      </c>
    </row>
    <row r="44" spans="1:3" s="100" customFormat="1" hidden="1">
      <c r="A44" s="108" t="s">
        <v>332</v>
      </c>
      <c r="B44" s="109"/>
      <c r="C44" s="109">
        <f>IF(C39=0,36,12)</f>
        <v>36</v>
      </c>
    </row>
    <row r="45" spans="1:3" s="100" customFormat="1" ht="40.5" hidden="1">
      <c r="A45" s="108" t="s">
        <v>246</v>
      </c>
      <c r="B45" s="109"/>
      <c r="C45" s="109">
        <f>C41*(C13+26)+C43*(C42+26+36)</f>
        <v>6643580</v>
      </c>
    </row>
    <row r="46" spans="1:3" s="100" customFormat="1" hidden="1">
      <c r="A46" s="108" t="s">
        <v>247</v>
      </c>
      <c r="B46" s="109"/>
      <c r="C46" s="109">
        <f>(2+C43+C41)*(C14+12)</f>
        <v>52272</v>
      </c>
    </row>
    <row r="47" spans="1:3" s="100" customFormat="1" hidden="1">
      <c r="A47" s="108" t="s">
        <v>248</v>
      </c>
      <c r="B47" s="109"/>
      <c r="C47" s="109">
        <f>C45+C46+170-24*C39</f>
        <v>6696022</v>
      </c>
    </row>
    <row r="48" spans="1:3" s="100" customFormat="1" hidden="1">
      <c r="A48" s="108" t="s">
        <v>360</v>
      </c>
      <c r="B48" s="109"/>
      <c r="C48" s="109">
        <f>INT(IF(C19=0,C16*(100-C17)/80,C16*100/80))</f>
        <v>1125</v>
      </c>
    </row>
    <row r="49" spans="1:4" s="100" customFormat="1" ht="27" hidden="1">
      <c r="A49" s="108" t="s">
        <v>362</v>
      </c>
      <c r="B49" s="109"/>
      <c r="C49" s="109">
        <f>ROUNDUP(C47/C48*10*1000/C25,0)</f>
        <v>3101</v>
      </c>
    </row>
    <row r="50" spans="1:4" s="100" customFormat="1" ht="27" hidden="1">
      <c r="A50" s="108" t="s">
        <v>364</v>
      </c>
      <c r="B50" s="109"/>
      <c r="C50" s="109">
        <f>ROUNDUP((C40+C44+10)*10*1000/C31/C25,0)</f>
        <v>2767</v>
      </c>
    </row>
    <row r="51" spans="1:4" s="100" customFormat="1" hidden="1">
      <c r="A51" s="108" t="s">
        <v>417</v>
      </c>
      <c r="B51" s="109"/>
      <c r="C51" s="109">
        <f>MAX(C49,C50)</f>
        <v>3101</v>
      </c>
    </row>
    <row r="52" spans="1:4" s="100" customFormat="1" hidden="1">
      <c r="A52" s="108"/>
      <c r="B52" s="109"/>
      <c r="C52" s="109"/>
    </row>
    <row r="53" spans="1:4" s="100" customFormat="1" hidden="1">
      <c r="A53" s="109"/>
      <c r="B53" s="109"/>
      <c r="C53" s="109"/>
    </row>
    <row r="54" spans="1:4" s="100" customFormat="1" hidden="1">
      <c r="A54" s="109" t="s">
        <v>253</v>
      </c>
      <c r="B54" s="109"/>
      <c r="C54" s="109">
        <f>12500*C16*(100-C17)</f>
        <v>1125000000</v>
      </c>
    </row>
    <row r="55" spans="1:4" s="100" customFormat="1" hidden="1">
      <c r="A55" s="109" t="s">
        <v>254</v>
      </c>
      <c r="B55" s="109"/>
      <c r="C55" s="109">
        <f>IF((ROUNDDOWN((C54-(62+C13-36)*C41-62-C42-168+C39*24)/(C41+3),0)-12)&gt;C56,C56,ROUNDDOWN((C54-(62+C13-36)*C41-62-C42-168+C39*24)/(C41+3),0)-12)</f>
        <v>180000</v>
      </c>
    </row>
    <row r="56" spans="1:4" s="100" customFormat="1" hidden="1">
      <c r="A56" s="110" t="s">
        <v>255</v>
      </c>
      <c r="B56" s="109"/>
      <c r="C56" s="109">
        <f>IF(C16=1000,180000,18000)</f>
        <v>180000</v>
      </c>
    </row>
    <row r="57" spans="1:4" s="100" customFormat="1" hidden="1">
      <c r="A57" s="109" t="s">
        <v>256</v>
      </c>
      <c r="B57" s="109"/>
      <c r="C57" s="109">
        <f>((62+(C13-36))*C41+62+C42+168)+(C14+12)*(C41+3)</f>
        <v>6696020</v>
      </c>
    </row>
    <row r="58" spans="1:4" s="100" customFormat="1" hidden="1">
      <c r="A58" s="109" t="s">
        <v>253</v>
      </c>
      <c r="B58" s="109"/>
      <c r="C58" s="109">
        <f>125000*C16</f>
        <v>125000000</v>
      </c>
    </row>
    <row r="59" spans="1:4" s="100" customFormat="1" hidden="1">
      <c r="A59" s="109" t="s">
        <v>257</v>
      </c>
      <c r="B59" s="109"/>
      <c r="C59" s="109">
        <f>IF((100-ROUNDDOWN(C57*10/(1250000*C16/10),0)-1)&lt;0,0,(100-ROUNDDOWN(C57*10/(1250000*C16/10),0)-1))</f>
        <v>99</v>
      </c>
    </row>
    <row r="60" spans="1:4" s="100" customFormat="1" hidden="1">
      <c r="A60" s="109"/>
      <c r="B60" s="109"/>
      <c r="C60" s="109"/>
    </row>
    <row r="61" spans="1:4" s="100" customFormat="1" hidden="1">
      <c r="A61" s="111"/>
      <c r="B61" s="109"/>
      <c r="C61" s="109"/>
    </row>
    <row r="62" spans="1:4" s="100" customFormat="1" hidden="1">
      <c r="A62" s="112" t="s">
        <v>785</v>
      </c>
      <c r="B62" s="109"/>
      <c r="C62" s="113" t="str">
        <f>"0x"&amp;DEC2HEX(C24)</f>
        <v>0x2D0</v>
      </c>
      <c r="D62" s="100" t="s">
        <v>924</v>
      </c>
    </row>
    <row r="63" spans="1:4" s="100" customFormat="1" hidden="1">
      <c r="A63" s="108" t="s">
        <v>239</v>
      </c>
      <c r="B63" s="109"/>
      <c r="C63" s="109">
        <f>0</f>
        <v>0</v>
      </c>
    </row>
    <row r="64" spans="1:4" s="100" customFormat="1" hidden="1">
      <c r="A64" s="108" t="s">
        <v>238</v>
      </c>
      <c r="B64" s="109"/>
      <c r="C64" s="113" t="str">
        <f>"0x"&amp;DEC2HEX(ROUNDUP(C10*1000/C25,0))</f>
        <v>0xA2D</v>
      </c>
      <c r="D64" s="100" t="s">
        <v>925</v>
      </c>
    </row>
    <row r="65" spans="1:4" s="100" customFormat="1" hidden="1">
      <c r="A65" s="108" t="s">
        <v>926</v>
      </c>
      <c r="B65" s="109"/>
      <c r="C65" s="113" t="str">
        <f>"0x"&amp;DEC2HEX(C67)</f>
        <v>0xC1D</v>
      </c>
      <c r="D65" s="100" t="s">
        <v>927</v>
      </c>
    </row>
    <row r="66" spans="1:4" s="100" customFormat="1" hidden="1">
      <c r="A66" s="108"/>
      <c r="B66" s="109"/>
      <c r="C66" s="113"/>
    </row>
    <row r="67" spans="1:4" s="100" customFormat="1" hidden="1">
      <c r="A67" s="109" t="s">
        <v>928</v>
      </c>
      <c r="B67" s="109"/>
      <c r="C67" s="109">
        <f>IF(C19=0,MAX(C34,C35,C36,C51),MAX(C35,C37,C51))</f>
        <v>3101</v>
      </c>
    </row>
    <row r="68" spans="1:4" s="100" customFormat="1" hidden="1">
      <c r="A68" s="109" t="s">
        <v>929</v>
      </c>
      <c r="B68" s="109"/>
      <c r="C68" s="109">
        <f>ROUNDUP(C67*C24/(C23/1000),0)</f>
        <v>59540</v>
      </c>
    </row>
    <row r="69" spans="1:4" s="100" customFormat="1" hidden="1">
      <c r="A69" s="109" t="s">
        <v>366</v>
      </c>
      <c r="B69" s="109"/>
      <c r="C69" s="109">
        <f>INT(INT(INT(INT(C4*INT(1000000000/C68)/10)*IF(C12=8,1,2)/10)*C5/10)*10/(100-C70))*10</f>
        <v>118938910</v>
      </c>
    </row>
    <row r="70" spans="1:4" s="100" customFormat="1" ht="15" hidden="1" customHeight="1">
      <c r="A70" s="109"/>
      <c r="B70" s="109"/>
      <c r="C70" s="109">
        <f>IF(C19=0,C17,0)</f>
        <v>10</v>
      </c>
    </row>
    <row r="71" spans="1:4" customFormat="1" hidden="1">
      <c r="A71" s="110" t="s">
        <v>262</v>
      </c>
      <c r="B71" s="110"/>
      <c r="C71" s="110">
        <f>ROUNDDOWN(3088/(4*C73),0)*4</f>
        <v>3088</v>
      </c>
    </row>
    <row r="72" spans="1:4" customFormat="1" hidden="1">
      <c r="A72" s="110" t="s">
        <v>263</v>
      </c>
      <c r="B72" s="110"/>
      <c r="C72" s="110">
        <f>ROUNDDOWN(2064/(2*C74),0)*2</f>
        <v>2064</v>
      </c>
    </row>
    <row r="73" spans="1:4" customFormat="1" hidden="1">
      <c r="A73" s="110" t="s">
        <v>264</v>
      </c>
      <c r="B73" s="110"/>
      <c r="C73" s="110">
        <f>IF(C6=1,C8,C6)</f>
        <v>1</v>
      </c>
    </row>
    <row r="74" spans="1:4" customFormat="1" hidden="1">
      <c r="A74" s="110" t="s">
        <v>265</v>
      </c>
      <c r="B74" s="110"/>
      <c r="C74" s="110">
        <f>IF(C7=1,C9,C7)</f>
        <v>1</v>
      </c>
    </row>
    <row r="75" spans="1:4" customFormat="1" hidden="1">
      <c r="A75" s="110" t="s">
        <v>266</v>
      </c>
      <c r="B75" s="110"/>
      <c r="C75" s="110">
        <f>ROUNDDOWN(C79/4,0)*4*C73</f>
        <v>3088</v>
      </c>
    </row>
    <row r="76" spans="1:4" customFormat="1" hidden="1">
      <c r="A76" s="110" t="s">
        <v>267</v>
      </c>
      <c r="B76" s="110"/>
      <c r="C76" s="110">
        <f>ROUNDDOWN(C80/2,0)*2*C74</f>
        <v>2064</v>
      </c>
    </row>
    <row r="77" spans="1:4" customFormat="1" hidden="1">
      <c r="A77" s="110" t="s">
        <v>268</v>
      </c>
      <c r="B77" s="110"/>
      <c r="C77" s="110">
        <f>ROUNDDOWN(C4/4,0)*4*C73</f>
        <v>3088</v>
      </c>
    </row>
    <row r="78" spans="1:4" customFormat="1" hidden="1">
      <c r="A78" s="110" t="s">
        <v>269</v>
      </c>
      <c r="B78" s="110"/>
      <c r="C78" s="110">
        <f>ROUNDDOWN(C5/2,0)*2*C74</f>
        <v>2064</v>
      </c>
    </row>
    <row r="79" spans="1:4" customFormat="1" hidden="1">
      <c r="A79" s="110" t="s">
        <v>270</v>
      </c>
      <c r="B79" s="110"/>
      <c r="C79" s="110">
        <f>ROUNDDOWN(C77/(4*C73),0)*4</f>
        <v>3088</v>
      </c>
    </row>
    <row r="80" spans="1:4" customFormat="1" hidden="1">
      <c r="A80" s="110" t="s">
        <v>271</v>
      </c>
      <c r="B80" s="110"/>
      <c r="C80" s="110">
        <f>ROUNDDOWN(C78/(2*C74),0)*2</f>
        <v>2064</v>
      </c>
    </row>
    <row r="81" spans="1:10" s="100" customFormat="1" ht="12.75" hidden="1" customHeight="1">
      <c r="A81" s="109"/>
      <c r="B81" s="109"/>
      <c r="C81" s="109"/>
    </row>
    <row r="82" spans="1:10" s="100" customFormat="1" ht="12.75" hidden="1" customHeight="1">
      <c r="A82" s="109"/>
      <c r="B82" s="109"/>
      <c r="C82" s="109"/>
    </row>
    <row r="83" spans="1:10" s="100" customFormat="1" ht="14.25" hidden="1">
      <c r="A83" s="114" t="s">
        <v>272</v>
      </c>
      <c r="B83" s="114"/>
      <c r="C83" s="114"/>
    </row>
    <row r="84" spans="1:10" s="100" customFormat="1" ht="14.25">
      <c r="A84" s="114" t="s">
        <v>252</v>
      </c>
      <c r="B84" s="114" t="s">
        <v>407</v>
      </c>
      <c r="C84" s="114">
        <f>ROUND(1000000/C68,2)</f>
        <v>16.8</v>
      </c>
      <c r="D84" s="106" t="str">
        <f>IF(J97=1,J93,"")</f>
        <v/>
      </c>
    </row>
    <row r="90" spans="1:10">
      <c r="J90" t="s">
        <v>418</v>
      </c>
    </row>
    <row r="91" spans="1:10">
      <c r="J91" s="115" t="s">
        <v>429</v>
      </c>
    </row>
    <row r="92" spans="1:10">
      <c r="J92" s="115" t="s">
        <v>427</v>
      </c>
    </row>
    <row r="93" spans="1:10">
      <c r="J93" t="s">
        <v>421</v>
      </c>
    </row>
    <row r="94" spans="1:10">
      <c r="J94" s="116"/>
    </row>
    <row r="95" spans="1:10">
      <c r="J95" s="116"/>
    </row>
    <row r="96" spans="1:10">
      <c r="J96" t="s">
        <v>422</v>
      </c>
    </row>
    <row r="97" spans="10:10">
      <c r="J97">
        <f>IF(OR(OR(C4&gt;C2,C4&lt;4),OR(C5&gt;C3,C5&lt;2)),1,0)</f>
        <v>0</v>
      </c>
    </row>
  </sheetData>
  <sheetProtection password="DE11" sheet="1" objects="1" selectLockedCells="1"/>
  <phoneticPr fontId="37" type="noConversion"/>
  <dataValidations count="19">
    <dataValidation type="custom" allowBlank="1" showInputMessage="1" showErrorMessage="1" error="Input range:[4, 'WidthMax'],and is an integer multiple of 4" sqref="C4">
      <formula1>AND((C4&lt;=C2),(C4&gt;=4),(MOD(C4,4)=0))</formula1>
    </dataValidation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whole" allowBlank="1" error="设置值超过包间隔范围" prompt="设置值应在预留带宽范围内" sqref="C18">
      <formula1>0</formula1>
      <formula2>C59</formula2>
    </dataValidation>
    <dataValidation type="custom" allowBlank="1" showInputMessage="1" showErrorMessage="1" error="输入参数值为1、2或者4，并且当水平像素抽样不为1时不能输入" sqref="C6">
      <formula1>AND(OR((C6=1),(C6=2),(C6=4)),C8=1)</formula1>
    </dataValidation>
    <dataValidation type="custom" allowBlank="1" showInputMessage="1" showErrorMessage="1" error="Input range:[2, 'HeightMax'],and is an integer multiple of 2" sqref="C5">
      <formula1>AND((C5&lt;=C3),(C5&gt;=2),(MOD(C5,2)=0))</formula1>
    </dataValidation>
    <dataValidation type="custom" allowBlank="1" showInputMessage="1" showErrorMessage="1" error="输入参数值为1、2或者4，并且当垂直像素抽样不为1时不能输入" sqref="C7">
      <formula1>AND(OR((C7=1),(C7=2),(C7=4)),C9=1)</formula1>
    </dataValidation>
    <dataValidation type="whole" allowBlank="1" showInputMessage="1" showErrorMessage="1" error="The input range :[19,1000000]" sqref="C10">
      <formula1>19</formula1>
      <formula2>1000000</formula2>
    </dataValidation>
    <dataValidation type="whole" allowBlank="1" showInputMessage="1" showErrorMessage="1" error="The input range :[0,5000]" sqref="C11">
      <formula1>0</formula1>
      <formula2>5000</formula2>
    </dataValidation>
    <dataValidation type="list" allowBlank="1" showInputMessage="1" showErrorMessage="1" error="Please enter 8 or 12" sqref="C12">
      <formula1>"8,12"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custom" allowBlank="1" showInputMessage="1" showErrorMessage="1" error="Please enter 1000 or 100" sqref="C16">
      <formula1>OR((C16=1000),(C16=100))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type="whole" allowBlank="1" showInputMessage="1" showErrorMessage="1" error="Set the value range [ 0,'BandwidthReserveMaxValue']" sqref="C17">
      <formula1>0</formula1>
      <formula2>C18</formula2>
    </dataValidation>
    <dataValidation type="whole" allowBlank="1" showErrorMessage="1" error="设置值超过最大值" prompt="应在包间隔范围内" sqref="C15">
      <formula1>0</formula1>
      <formula2>C55</formula2>
    </dataValidation>
    <dataValidation type="list" allowBlank="1" showErrorMessage="1" error="Please enter a 0 or 1" prompt="应在包间隔范围内" sqref="C19">
      <formula1>"0,1"</formula1>
    </dataValidation>
    <dataValidation type="list" allowBlank="1" showErrorMessage="1" error="请输入0或者1" prompt="应在包间隔范围内" sqref="C21">
      <formula1>"0,1"</formula1>
    </dataValidation>
    <dataValidation type="custom" allowBlank="1" showErrorMessage="1" error="Set the value range :[ 0.1,10000.0], accurate to one decimal" prompt="应在包间隔范围内" sqref="C20">
      <formula1>AND(TRUNC(C20,1)=C20,(C20&gt;0.1),(C20&lt;=10000))</formula1>
    </dataValidation>
    <dataValidation type="custom" allowBlank="1" showInputMessage="1" showErrorMessage="1" error="Please enter 1 or 2" sqref="C8:C9">
      <formula1>AND(OR((C8=1),(C8=2)),C6=1)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opLeftCell="B1" workbookViewId="0">
      <selection activeCell="E3" sqref="E3"/>
    </sheetView>
  </sheetViews>
  <sheetFormatPr defaultColWidth="9" defaultRowHeight="13.5"/>
  <cols>
    <col min="1" max="1" width="16.875" hidden="1" customWidth="1"/>
    <col min="2" max="2" width="28.125" customWidth="1"/>
    <col min="3" max="3" width="18.875" customWidth="1"/>
    <col min="9" max="12" width="9" hidden="1" customWidth="1"/>
  </cols>
  <sheetData>
    <row r="1" spans="1:4" s="643" customFormat="1">
      <c r="A1" s="647" t="s">
        <v>197</v>
      </c>
      <c r="B1" s="647"/>
      <c r="C1" s="648"/>
    </row>
    <row r="2" spans="1:4" s="643" customFormat="1">
      <c r="A2" s="262" t="s">
        <v>198</v>
      </c>
      <c r="B2" s="262" t="s">
        <v>199</v>
      </c>
      <c r="C2" s="262">
        <f>C91</f>
        <v>808</v>
      </c>
    </row>
    <row r="3" spans="1:4" s="643" customFormat="1">
      <c r="A3" s="262" t="s">
        <v>200</v>
      </c>
      <c r="B3" s="262" t="s">
        <v>201</v>
      </c>
      <c r="C3" s="262">
        <f>C92</f>
        <v>608</v>
      </c>
    </row>
    <row r="4" spans="1:4" s="643" customFormat="1">
      <c r="A4" s="647" t="s">
        <v>202</v>
      </c>
      <c r="B4" s="647" t="s">
        <v>203</v>
      </c>
      <c r="C4" s="107">
        <v>808</v>
      </c>
      <c r="D4" s="263" t="str">
        <f>IF(OR(C4&gt;C2,C4&lt;8),I93,"")</f>
        <v/>
      </c>
    </row>
    <row r="5" spans="1:4" s="643" customFormat="1">
      <c r="A5" s="647" t="s">
        <v>204</v>
      </c>
      <c r="B5" s="647" t="s">
        <v>205</v>
      </c>
      <c r="C5" s="107">
        <v>608</v>
      </c>
      <c r="D5" s="263" t="str">
        <f>IF(OR(C5&gt;C3,C5&lt;2),I94,"")</f>
        <v/>
      </c>
    </row>
    <row r="6" spans="1:4" s="643" customFormat="1">
      <c r="A6" s="262" t="s">
        <v>206</v>
      </c>
      <c r="B6" s="262" t="s">
        <v>207</v>
      </c>
      <c r="C6" s="264">
        <v>1</v>
      </c>
    </row>
    <row r="7" spans="1:4" s="643" customFormat="1">
      <c r="A7" s="262" t="s">
        <v>208</v>
      </c>
      <c r="B7" s="262" t="s">
        <v>209</v>
      </c>
      <c r="C7" s="264">
        <v>1</v>
      </c>
    </row>
    <row r="8" spans="1:4" s="643" customFormat="1">
      <c r="A8" s="262" t="s">
        <v>210</v>
      </c>
      <c r="B8" s="262" t="s">
        <v>211</v>
      </c>
      <c r="C8" s="264">
        <v>1</v>
      </c>
    </row>
    <row r="9" spans="1:4" s="643" customFormat="1">
      <c r="A9" s="262" t="s">
        <v>212</v>
      </c>
      <c r="B9" s="262" t="s">
        <v>213</v>
      </c>
      <c r="C9" s="264">
        <v>1</v>
      </c>
    </row>
    <row r="10" spans="1:4" s="643" customFormat="1">
      <c r="A10" s="647" t="s">
        <v>214</v>
      </c>
      <c r="B10" s="647" t="s">
        <v>215</v>
      </c>
      <c r="C10" s="107">
        <v>10000</v>
      </c>
    </row>
    <row r="11" spans="1:4" s="643" customFormat="1">
      <c r="A11" s="647" t="s">
        <v>216</v>
      </c>
      <c r="B11" s="647" t="s">
        <v>217</v>
      </c>
      <c r="C11" s="107">
        <v>0</v>
      </c>
    </row>
    <row r="12" spans="1:4" s="643" customFormat="1">
      <c r="A12" s="647" t="s">
        <v>218</v>
      </c>
      <c r="B12" s="647" t="s">
        <v>279</v>
      </c>
      <c r="C12" s="107">
        <v>8</v>
      </c>
    </row>
    <row r="13" spans="1:4" s="643" customFormat="1">
      <c r="A13" s="647" t="s">
        <v>220</v>
      </c>
      <c r="B13" s="647" t="s">
        <v>221</v>
      </c>
      <c r="C13" s="107">
        <v>1500</v>
      </c>
    </row>
    <row r="14" spans="1:4" s="643" customFormat="1">
      <c r="A14" s="647" t="s">
        <v>222</v>
      </c>
      <c r="B14" s="647" t="s">
        <v>223</v>
      </c>
      <c r="C14" s="107">
        <v>0</v>
      </c>
    </row>
    <row r="15" spans="1:4" s="643" customFormat="1">
      <c r="A15" s="647" t="s">
        <v>224</v>
      </c>
      <c r="B15" s="647" t="s">
        <v>225</v>
      </c>
      <c r="C15" s="104">
        <f>C78</f>
        <v>180000</v>
      </c>
    </row>
    <row r="16" spans="1:4" s="643" customFormat="1">
      <c r="A16" s="647" t="s">
        <v>226</v>
      </c>
      <c r="B16" s="647" t="s">
        <v>227</v>
      </c>
      <c r="C16" s="107">
        <v>100</v>
      </c>
    </row>
    <row r="17" spans="1:3" s="643" customFormat="1">
      <c r="A17" s="647" t="s">
        <v>228</v>
      </c>
      <c r="B17" s="647" t="s">
        <v>229</v>
      </c>
      <c r="C17" s="107">
        <v>0</v>
      </c>
    </row>
    <row r="18" spans="1:3" s="643" customFormat="1">
      <c r="A18" s="647" t="s">
        <v>230</v>
      </c>
      <c r="B18" s="647" t="s">
        <v>231</v>
      </c>
      <c r="C18" s="107">
        <v>1000</v>
      </c>
    </row>
    <row r="19" spans="1:3" s="670" customFormat="1">
      <c r="A19" s="647" t="s">
        <v>232</v>
      </c>
      <c r="B19" s="647" t="s">
        <v>233</v>
      </c>
      <c r="C19" s="107">
        <v>10</v>
      </c>
    </row>
    <row r="20" spans="1:3" s="670" customFormat="1">
      <c r="A20" s="647" t="s">
        <v>234</v>
      </c>
      <c r="B20" s="647" t="s">
        <v>235</v>
      </c>
      <c r="C20" s="104">
        <f>C82</f>
        <v>99</v>
      </c>
    </row>
    <row r="21" spans="1:3" s="670" customFormat="1">
      <c r="A21" s="104" t="s">
        <v>280</v>
      </c>
      <c r="B21" s="104" t="s">
        <v>281</v>
      </c>
      <c r="C21" s="107">
        <v>0</v>
      </c>
    </row>
    <row r="22" spans="1:3">
      <c r="A22" s="647"/>
      <c r="B22" s="647"/>
      <c r="C22" s="104"/>
    </row>
    <row r="23" spans="1:3" hidden="1">
      <c r="A23" s="671" t="s">
        <v>282</v>
      </c>
      <c r="B23" s="671" t="s">
        <v>283</v>
      </c>
      <c r="C23" s="671">
        <v>20</v>
      </c>
    </row>
    <row r="24" spans="1:3" s="670" customFormat="1" hidden="1">
      <c r="A24" s="671" t="s">
        <v>284</v>
      </c>
      <c r="B24" s="671" t="s">
        <v>285</v>
      </c>
      <c r="C24" s="671">
        <f>ROUNDUP(866*1000/C26,0)</f>
        <v>12736</v>
      </c>
    </row>
    <row r="25" spans="1:3" s="670" customFormat="1" hidden="1">
      <c r="A25" s="671"/>
      <c r="B25" s="658" t="s">
        <v>286</v>
      </c>
      <c r="C25" s="110">
        <v>1</v>
      </c>
    </row>
    <row r="26" spans="1:3" s="670" customFormat="1" hidden="1">
      <c r="A26" s="671" t="s">
        <v>287</v>
      </c>
      <c r="B26" s="658" t="s">
        <v>288</v>
      </c>
      <c r="C26" s="110">
        <v>68</v>
      </c>
    </row>
    <row r="27" spans="1:3" s="670" customFormat="1" hidden="1">
      <c r="A27" s="671" t="s">
        <v>289</v>
      </c>
      <c r="B27" s="658" t="s">
        <v>290</v>
      </c>
      <c r="C27" s="110">
        <v>4</v>
      </c>
    </row>
    <row r="28" spans="1:3" s="670" customFormat="1" hidden="1">
      <c r="A28" s="671" t="s">
        <v>291</v>
      </c>
      <c r="B28" s="658" t="s">
        <v>292</v>
      </c>
      <c r="C28" s="110">
        <v>3</v>
      </c>
    </row>
    <row r="29" spans="1:3" s="670" customFormat="1" hidden="1">
      <c r="A29" s="671" t="s">
        <v>293</v>
      </c>
      <c r="B29" s="658" t="s">
        <v>294</v>
      </c>
      <c r="C29" s="110">
        <v>1</v>
      </c>
    </row>
    <row r="30" spans="1:3" s="670" customFormat="1" hidden="1">
      <c r="A30" s="671" t="s">
        <v>295</v>
      </c>
      <c r="B30" s="658" t="s">
        <v>296</v>
      </c>
      <c r="C30" s="110">
        <v>74</v>
      </c>
    </row>
    <row r="31" spans="1:3" s="670" customFormat="1" hidden="1">
      <c r="A31" s="671" t="s">
        <v>297</v>
      </c>
      <c r="B31" s="658" t="s">
        <v>298</v>
      </c>
      <c r="C31" s="110">
        <v>74</v>
      </c>
    </row>
    <row r="32" spans="1:3" s="670" customFormat="1" hidden="1">
      <c r="A32" s="671" t="s">
        <v>299</v>
      </c>
      <c r="B32" s="658" t="s">
        <v>300</v>
      </c>
      <c r="C32" s="110">
        <v>42853</v>
      </c>
    </row>
    <row r="33" spans="1:3" s="670" customFormat="1" hidden="1">
      <c r="A33" s="671" t="s">
        <v>301</v>
      </c>
      <c r="B33" s="658" t="s">
        <v>302</v>
      </c>
      <c r="C33" s="110">
        <v>3353</v>
      </c>
    </row>
    <row r="34" spans="1:3" s="670" customFormat="1" ht="27" hidden="1">
      <c r="A34" s="671" t="s">
        <v>303</v>
      </c>
      <c r="B34" s="658" t="s">
        <v>304</v>
      </c>
      <c r="C34" s="110">
        <v>4</v>
      </c>
    </row>
    <row r="35" spans="1:3" s="670" customFormat="1" hidden="1">
      <c r="A35" s="671" t="s">
        <v>305</v>
      </c>
      <c r="B35" s="658" t="s">
        <v>306</v>
      </c>
      <c r="C35" s="110">
        <v>4</v>
      </c>
    </row>
    <row r="36" spans="1:3" s="670" customFormat="1" ht="27" hidden="1">
      <c r="A36" s="671" t="s">
        <v>303</v>
      </c>
      <c r="B36" s="658" t="s">
        <v>307</v>
      </c>
      <c r="C36" s="110">
        <v>0</v>
      </c>
    </row>
    <row r="37" spans="1:3" s="670" customFormat="1" hidden="1">
      <c r="A37" s="671" t="s">
        <v>305</v>
      </c>
      <c r="B37" s="658" t="s">
        <v>308</v>
      </c>
      <c r="C37" s="110">
        <v>0</v>
      </c>
    </row>
    <row r="38" spans="1:3" s="670" customFormat="1" hidden="1">
      <c r="A38" s="671" t="s">
        <v>309</v>
      </c>
      <c r="B38" s="658" t="s">
        <v>310</v>
      </c>
      <c r="C38" s="110">
        <v>0</v>
      </c>
    </row>
    <row r="39" spans="1:3" s="670" customFormat="1" ht="27" hidden="1">
      <c r="A39" s="671" t="s">
        <v>311</v>
      </c>
      <c r="B39" s="658" t="s">
        <v>312</v>
      </c>
      <c r="C39" s="110">
        <v>2</v>
      </c>
    </row>
    <row r="40" spans="1:3" s="670" customFormat="1" hidden="1">
      <c r="A40" s="671" t="s">
        <v>313</v>
      </c>
      <c r="B40" s="658" t="s">
        <v>314</v>
      </c>
      <c r="C40" s="110">
        <v>1200</v>
      </c>
    </row>
    <row r="41" spans="1:3" s="670" customFormat="1" hidden="1">
      <c r="A41" s="671" t="s">
        <v>315</v>
      </c>
      <c r="B41" s="658" t="s">
        <v>316</v>
      </c>
      <c r="C41" s="110">
        <v>20000</v>
      </c>
    </row>
    <row r="42" spans="1:3" hidden="1">
      <c r="A42" s="658" t="s">
        <v>317</v>
      </c>
      <c r="B42" s="658"/>
      <c r="C42" s="110">
        <v>808</v>
      </c>
    </row>
    <row r="43" spans="1:3" hidden="1">
      <c r="A43" s="671" t="s">
        <v>318</v>
      </c>
      <c r="B43" s="658" t="s">
        <v>319</v>
      </c>
      <c r="C43" s="110">
        <f>ROUNDUP((C31+C42/C25+C35+C38)*1000/C26,0)</f>
        <v>13030</v>
      </c>
    </row>
    <row r="44" spans="1:3" hidden="1">
      <c r="A44" s="671" t="s">
        <v>320</v>
      </c>
      <c r="B44" s="658" t="s">
        <v>321</v>
      </c>
      <c r="C44" s="110">
        <f>ROUNDUP((C30+C4*C93/C25+C34+C38)*1000/C26,0)</f>
        <v>13030</v>
      </c>
    </row>
    <row r="45" spans="1:3" hidden="1">
      <c r="A45" s="671" t="s">
        <v>322</v>
      </c>
      <c r="B45" s="658" t="s">
        <v>323</v>
      </c>
      <c r="C45" s="110">
        <f>C27*C43</f>
        <v>52120</v>
      </c>
    </row>
    <row r="46" spans="1:3" hidden="1">
      <c r="A46" s="671" t="s">
        <v>324</v>
      </c>
      <c r="B46" s="658" t="s">
        <v>325</v>
      </c>
      <c r="C46" s="110">
        <f>C5*C94*C44</f>
        <v>7922240</v>
      </c>
    </row>
    <row r="47" spans="1:3" hidden="1">
      <c r="A47" s="671" t="s">
        <v>326</v>
      </c>
      <c r="B47" s="658" t="s">
        <v>327</v>
      </c>
      <c r="C47" s="110">
        <f>C28*C43</f>
        <v>39090</v>
      </c>
    </row>
    <row r="48" spans="1:3" ht="27" hidden="1">
      <c r="A48" s="671" t="s">
        <v>328</v>
      </c>
      <c r="B48" s="658" t="s">
        <v>329</v>
      </c>
      <c r="C48" s="110">
        <f>C29*C43</f>
        <v>13030</v>
      </c>
    </row>
    <row r="49" spans="1:3" hidden="1">
      <c r="A49" s="671" t="s">
        <v>236</v>
      </c>
      <c r="B49" s="658"/>
      <c r="C49" s="110">
        <f>C16*10</f>
        <v>1000</v>
      </c>
    </row>
    <row r="50" spans="1:3" hidden="1">
      <c r="A50" s="671" t="s">
        <v>237</v>
      </c>
      <c r="B50" s="658"/>
      <c r="C50" s="110">
        <f>ROUNDUP((C31*1000/C26+C45+C24*C23+C46+C47+C32+C33+C41)/1000,0)</f>
        <v>8336</v>
      </c>
    </row>
    <row r="51" spans="1:3" hidden="1">
      <c r="A51" s="671" t="s">
        <v>240</v>
      </c>
      <c r="B51" s="658"/>
      <c r="C51" s="110">
        <f>ROUNDUP((C48+C10*1000+C11*1000+C32+C33+C41)/1000,0)</f>
        <v>10080</v>
      </c>
    </row>
    <row r="52" spans="1:3" hidden="1">
      <c r="A52" s="671" t="s">
        <v>241</v>
      </c>
      <c r="B52" s="658"/>
      <c r="C52" s="110">
        <v>0</v>
      </c>
    </row>
    <row r="53" spans="1:3" hidden="1">
      <c r="A53" s="671" t="s">
        <v>330</v>
      </c>
      <c r="B53" s="658" t="s">
        <v>331</v>
      </c>
      <c r="C53" s="110">
        <v>12</v>
      </c>
    </row>
    <row r="54" spans="1:3" hidden="1">
      <c r="A54" s="671" t="s">
        <v>332</v>
      </c>
      <c r="B54" s="663" t="s">
        <v>333</v>
      </c>
      <c r="C54" s="110">
        <v>36</v>
      </c>
    </row>
    <row r="55" spans="1:3" hidden="1">
      <c r="A55" s="671" t="s">
        <v>334</v>
      </c>
      <c r="B55" s="658" t="s">
        <v>335</v>
      </c>
      <c r="C55" s="110">
        <v>10</v>
      </c>
    </row>
    <row r="56" spans="1:3" hidden="1">
      <c r="A56" s="671" t="s">
        <v>336</v>
      </c>
      <c r="B56" s="663" t="s">
        <v>337</v>
      </c>
      <c r="C56" s="110">
        <f>C4*C5*IF(C12=8,1,2)</f>
        <v>491264</v>
      </c>
    </row>
    <row r="57" spans="1:3" hidden="1">
      <c r="A57" s="671" t="s">
        <v>338</v>
      </c>
      <c r="B57" s="663" t="s">
        <v>339</v>
      </c>
      <c r="C57" s="110">
        <f>C56</f>
        <v>491264</v>
      </c>
    </row>
    <row r="58" spans="1:3" ht="27" hidden="1">
      <c r="A58" s="671" t="s">
        <v>340</v>
      </c>
      <c r="B58" s="658" t="s">
        <v>341</v>
      </c>
      <c r="C58" s="110">
        <v>36</v>
      </c>
    </row>
    <row r="59" spans="1:3" hidden="1">
      <c r="A59" s="671" t="s">
        <v>342</v>
      </c>
      <c r="B59" s="658" t="s">
        <v>343</v>
      </c>
      <c r="C59" s="110">
        <v>26</v>
      </c>
    </row>
    <row r="60" spans="1:3" hidden="1">
      <c r="A60" s="671" t="s">
        <v>344</v>
      </c>
      <c r="B60" s="658" t="s">
        <v>345</v>
      </c>
      <c r="C60" s="110">
        <v>10</v>
      </c>
    </row>
    <row r="61" spans="1:3" hidden="1">
      <c r="A61" s="671" t="s">
        <v>346</v>
      </c>
      <c r="B61" s="658" t="s">
        <v>347</v>
      </c>
      <c r="C61" s="110">
        <f>ROUNDDOWN((C4*C5*ROUNDUP(C12/8,0)+C52*32)/(C13-36),0)</f>
        <v>335</v>
      </c>
    </row>
    <row r="62" spans="1:3" hidden="1">
      <c r="A62" s="671" t="s">
        <v>245</v>
      </c>
      <c r="B62" s="658" t="s">
        <v>348</v>
      </c>
      <c r="C62" s="110">
        <f>IF(C63=0,0,1)</f>
        <v>1</v>
      </c>
    </row>
    <row r="63" spans="1:3" hidden="1">
      <c r="A63" s="671" t="s">
        <v>244</v>
      </c>
      <c r="B63" s="658" t="s">
        <v>349</v>
      </c>
      <c r="C63" s="110">
        <f>C4*C5*ROUNDUP(C12/8,0)+C52*32-(C13-36)*C61</f>
        <v>824</v>
      </c>
    </row>
    <row r="64" spans="1:3" ht="27" hidden="1">
      <c r="A64" s="671" t="s">
        <v>350</v>
      </c>
      <c r="B64" s="658" t="s">
        <v>351</v>
      </c>
      <c r="C64" s="110">
        <f>IF(C63&lt;C60,C60,C63)</f>
        <v>824</v>
      </c>
    </row>
    <row r="65" spans="1:3" ht="27" hidden="1">
      <c r="A65" s="671" t="s">
        <v>352</v>
      </c>
      <c r="B65" s="658" t="s">
        <v>353</v>
      </c>
      <c r="C65" s="110">
        <v>98</v>
      </c>
    </row>
    <row r="66" spans="1:3" ht="27" hidden="1">
      <c r="A66" s="671" t="s">
        <v>354</v>
      </c>
      <c r="B66" s="663" t="s">
        <v>355</v>
      </c>
      <c r="C66" s="110">
        <v>72</v>
      </c>
    </row>
    <row r="67" spans="1:3" ht="27" hidden="1">
      <c r="A67" s="671" t="s">
        <v>356</v>
      </c>
      <c r="B67" s="658" t="s">
        <v>357</v>
      </c>
      <c r="C67" s="110">
        <f>C61*(C13+C59)+C62*(C64+C58+C59)</f>
        <v>512096</v>
      </c>
    </row>
    <row r="68" spans="1:3" hidden="1">
      <c r="A68" s="671" t="s">
        <v>247</v>
      </c>
      <c r="B68" s="658" t="s">
        <v>358</v>
      </c>
      <c r="C68" s="110">
        <f>(2+C61+C62)*(C14+C53)</f>
        <v>4056</v>
      </c>
    </row>
    <row r="69" spans="1:3" hidden="1">
      <c r="A69" s="671" t="s">
        <v>248</v>
      </c>
      <c r="B69" s="658" t="s">
        <v>359</v>
      </c>
      <c r="C69" s="110">
        <f>C65+C66+C67+C68</f>
        <v>516322</v>
      </c>
    </row>
    <row r="70" spans="1:3" ht="27" hidden="1">
      <c r="A70" s="671" t="s">
        <v>360</v>
      </c>
      <c r="B70" s="658" t="s">
        <v>361</v>
      </c>
      <c r="C70" s="110">
        <f>ROUNDDOWN(C18*(100-C19)/80,0)</f>
        <v>1125</v>
      </c>
    </row>
    <row r="71" spans="1:3" ht="27" hidden="1">
      <c r="A71" s="671" t="s">
        <v>362</v>
      </c>
      <c r="B71" s="658" t="s">
        <v>363</v>
      </c>
      <c r="C71" s="110">
        <f>INT(C69/C70)*10</f>
        <v>4580</v>
      </c>
    </row>
    <row r="72" spans="1:3" ht="27" hidden="1">
      <c r="A72" s="671" t="s">
        <v>364</v>
      </c>
      <c r="B72" s="658" t="s">
        <v>365</v>
      </c>
      <c r="C72" s="110">
        <f>INT((C57+C54+C55)/C40)*10</f>
        <v>4090</v>
      </c>
    </row>
    <row r="73" spans="1:3" hidden="1">
      <c r="A73" s="658" t="s">
        <v>249</v>
      </c>
      <c r="B73" s="658"/>
      <c r="C73" s="110">
        <f>MAX(C71,C72)</f>
        <v>4580</v>
      </c>
    </row>
    <row r="74" spans="1:3" hidden="1">
      <c r="A74" s="658" t="s">
        <v>250</v>
      </c>
      <c r="B74" s="658"/>
      <c r="C74" s="110">
        <f>ROUNDDOWN((1000000/C16)*C17,0)</f>
        <v>0</v>
      </c>
    </row>
    <row r="75" spans="1:3" hidden="1">
      <c r="A75" s="658" t="s">
        <v>251</v>
      </c>
      <c r="B75" s="658"/>
      <c r="C75" s="110">
        <f>IF(C21=1,MAX(C50,C51,C73,C74),MAX(C50,C51,C74))</f>
        <v>10080</v>
      </c>
    </row>
    <row r="76" spans="1:3" hidden="1">
      <c r="A76" s="658" t="s">
        <v>252</v>
      </c>
      <c r="B76" s="658"/>
      <c r="C76" s="110">
        <f>ROUND(1000000/C75,2)</f>
        <v>99.21</v>
      </c>
    </row>
    <row r="77" spans="1:3" hidden="1">
      <c r="A77" s="658" t="s">
        <v>253</v>
      </c>
      <c r="B77" s="658"/>
      <c r="C77" s="110">
        <f>12500*C18*(100-C19)</f>
        <v>1125000000</v>
      </c>
    </row>
    <row r="78" spans="1:3" hidden="1">
      <c r="A78" s="658" t="s">
        <v>254</v>
      </c>
      <c r="B78" s="658"/>
      <c r="C78" s="110">
        <f>IF((ROUNDDOWN((C77-(62+C13-36)*C61-62-C63-170+C52*24)/(C61+3),0)-12)&gt;C79,C79,ROUNDDOWN((C77-(62+C13-36)*C61-62-C63-168+C52*24)/(C61+3),0)-12)</f>
        <v>180000</v>
      </c>
    </row>
    <row r="79" spans="1:3" hidden="1">
      <c r="A79" s="673" t="s">
        <v>255</v>
      </c>
      <c r="B79" s="658"/>
      <c r="C79" s="110">
        <f>IF(C18=1000,180000,18000)</f>
        <v>180000</v>
      </c>
    </row>
    <row r="80" spans="1:3" hidden="1">
      <c r="A80" s="658" t="s">
        <v>256</v>
      </c>
      <c r="B80" s="658"/>
      <c r="C80" s="110">
        <f>((62+(C13-36))*C61+62+C63+170)+(C14+12)*(C61+3)</f>
        <v>516322</v>
      </c>
    </row>
    <row r="81" spans="1:12" hidden="1">
      <c r="A81" s="658" t="s">
        <v>253</v>
      </c>
      <c r="B81" s="658"/>
      <c r="C81" s="110">
        <f>1250000*C18</f>
        <v>1250000000</v>
      </c>
    </row>
    <row r="82" spans="1:12" hidden="1">
      <c r="A82" s="658" t="s">
        <v>257</v>
      </c>
      <c r="B82" s="658"/>
      <c r="C82" s="110">
        <f>IF((100-ROUNDDOWN(C80*10/(C81/10),0)-1)&lt;0,0,(100-ROUNDDOWN(C80*10/(C81/10),0)-1))</f>
        <v>99</v>
      </c>
    </row>
    <row r="83" spans="1:12" ht="14.25" hidden="1" customHeight="1">
      <c r="A83" s="658" t="s">
        <v>258</v>
      </c>
      <c r="B83" s="658"/>
      <c r="C83" s="110">
        <f>ROUNDDOWN((C77-(62+C13-36)*C61-62-C63-170+C52*24)/(C61+3),0)-12</f>
        <v>3326874</v>
      </c>
    </row>
    <row r="84" spans="1:12" hidden="1">
      <c r="A84" s="658" t="s">
        <v>366</v>
      </c>
      <c r="B84" s="658"/>
      <c r="C84" s="110">
        <f>ROUNDDOWN(ROUNDDOWN(ROUNDDOWN(ROUNDDOWN(C4*ROUNDDOWN(1000000000/C75,0)/10,0)*ROUNDUP(C12/8,0)/10,0)*C5/10,0)*10/(100-C19),0)*10</f>
        <v>54151450</v>
      </c>
    </row>
    <row r="85" spans="1:12" ht="14.25">
      <c r="A85" s="666" t="s">
        <v>272</v>
      </c>
      <c r="B85" s="666"/>
      <c r="C85" s="118"/>
    </row>
    <row r="86" spans="1:12" ht="14.25">
      <c r="A86" s="666" t="s">
        <v>252</v>
      </c>
      <c r="B86" s="666" t="s">
        <v>273</v>
      </c>
      <c r="C86" s="118">
        <f>C76</f>
        <v>99.21</v>
      </c>
    </row>
    <row r="87" spans="1:12" hidden="1">
      <c r="A87" s="671" t="s">
        <v>237</v>
      </c>
      <c r="B87" s="658"/>
      <c r="C87" s="658">
        <f>C50</f>
        <v>8336</v>
      </c>
    </row>
    <row r="88" spans="1:12" hidden="1">
      <c r="A88" s="671" t="s">
        <v>240</v>
      </c>
      <c r="B88" s="658"/>
      <c r="C88" s="658">
        <f>C51</f>
        <v>10080</v>
      </c>
    </row>
    <row r="89" spans="1:12" hidden="1">
      <c r="A89" s="658" t="s">
        <v>250</v>
      </c>
      <c r="B89" s="658"/>
      <c r="C89" s="658">
        <f>C74</f>
        <v>0</v>
      </c>
    </row>
    <row r="90" spans="1:12" hidden="1">
      <c r="A90" s="658" t="s">
        <v>249</v>
      </c>
      <c r="B90" s="658"/>
      <c r="C90" s="658">
        <f>C73</f>
        <v>4580</v>
      </c>
    </row>
    <row r="91" spans="1:12" hidden="1">
      <c r="A91" s="269" t="s">
        <v>262</v>
      </c>
      <c r="B91" s="269"/>
      <c r="C91" s="269">
        <f>ROUNDDOWN(808/(8*C93),0)*8</f>
        <v>808</v>
      </c>
    </row>
    <row r="92" spans="1:12" ht="40.5" hidden="1">
      <c r="A92" s="269" t="s">
        <v>263</v>
      </c>
      <c r="B92" s="269"/>
      <c r="C92" s="269">
        <f>ROUNDDOWN(608/(2*C94),0)*2</f>
        <v>608</v>
      </c>
      <c r="I92" s="674" t="s">
        <v>274</v>
      </c>
      <c r="J92" s="268"/>
      <c r="K92" s="268"/>
      <c r="L92" s="268"/>
    </row>
    <row r="93" spans="1:12" hidden="1">
      <c r="A93" s="269" t="s">
        <v>264</v>
      </c>
      <c r="B93" s="269"/>
      <c r="C93" s="269">
        <f>IF(C6=1,C8,C6)</f>
        <v>1</v>
      </c>
      <c r="I93" s="268" t="s">
        <v>275</v>
      </c>
      <c r="J93" s="268"/>
      <c r="K93" s="268"/>
      <c r="L93" s="268"/>
    </row>
    <row r="94" spans="1:12" hidden="1">
      <c r="A94" s="269" t="s">
        <v>265</v>
      </c>
      <c r="B94" s="269"/>
      <c r="C94" s="269">
        <f>IF(C7=1,C9,C7)</f>
        <v>1</v>
      </c>
      <c r="I94" s="268" t="s">
        <v>367</v>
      </c>
      <c r="J94" s="268"/>
      <c r="K94" s="268"/>
      <c r="L94" s="268"/>
    </row>
    <row r="95" spans="1:12" hidden="1">
      <c r="A95" s="269" t="s">
        <v>266</v>
      </c>
      <c r="B95" s="269"/>
      <c r="C95" s="269">
        <f>ROUNDDOWN(C4/8,0)*8*C93</f>
        <v>808</v>
      </c>
      <c r="I95" s="268" t="s">
        <v>277</v>
      </c>
      <c r="J95" s="268"/>
      <c r="K95" s="268"/>
      <c r="L95" s="268"/>
    </row>
    <row r="96" spans="1:12" hidden="1">
      <c r="A96" s="269" t="s">
        <v>267</v>
      </c>
      <c r="B96" s="269"/>
      <c r="C96" s="269">
        <f>ROUNDDOWN(C5/2,0)*2*C94</f>
        <v>608</v>
      </c>
      <c r="I96" s="268"/>
      <c r="J96" s="268"/>
      <c r="K96" s="268"/>
      <c r="L96" s="268"/>
    </row>
    <row r="97" spans="1:12" hidden="1">
      <c r="A97" s="269" t="s">
        <v>268</v>
      </c>
      <c r="B97" s="269"/>
      <c r="C97" s="269">
        <f>ROUNDDOWN(C4/8,0)*8*C93</f>
        <v>808</v>
      </c>
      <c r="I97" s="268"/>
      <c r="J97" s="268"/>
      <c r="K97" s="268"/>
      <c r="L97" s="268"/>
    </row>
    <row r="98" spans="1:12" hidden="1">
      <c r="A98" s="269" t="s">
        <v>269</v>
      </c>
      <c r="B98" s="269"/>
      <c r="C98" s="269">
        <f>ROUNDDOWN(C5/2,0)*2*C94</f>
        <v>608</v>
      </c>
      <c r="I98" s="268" t="s">
        <v>278</v>
      </c>
      <c r="J98" s="268"/>
      <c r="K98" s="268"/>
      <c r="L98" s="268"/>
    </row>
    <row r="99" spans="1:12" hidden="1">
      <c r="A99" s="269" t="s">
        <v>270</v>
      </c>
      <c r="B99" s="269"/>
      <c r="C99" s="269">
        <f>ROUNDDOWN(C97/(8*C93),0)*8</f>
        <v>808</v>
      </c>
    </row>
    <row r="100" spans="1:12" hidden="1">
      <c r="A100" s="269" t="s">
        <v>271</v>
      </c>
      <c r="B100" s="269"/>
      <c r="C100" s="269">
        <f>ROUNDDOWN(C98/(2*C94),0)*2</f>
        <v>608</v>
      </c>
    </row>
    <row r="101" spans="1:12">
      <c r="I101">
        <v>1</v>
      </c>
      <c r="J101">
        <v>0</v>
      </c>
    </row>
  </sheetData>
  <sheetProtection algorithmName="SHA-512" hashValue="jfFLSIrrI1P9EgLoBEWdGwgCT1qfqjdahhhfuXJAJnz67fHjahXJQCLL2MNbUPaZVvqaSoPgTg4ZIuePJVvZ0g==" saltValue="7M4dSTn4kiw2sDuLrt0fgA==" spinCount="100000" sheet="1" objects="1" scenarios="1" selectLockedCells="1"/>
  <phoneticPr fontId="37" type="noConversion"/>
  <dataValidations count="19">
    <dataValidation type="whole" allowBlank="1" showInputMessage="1" showErrorMessage="1" error="Set the value range:[ 0,'GevSCPDMaxValue']" sqref="C14">
      <formula1>0</formula1>
      <formula2>C15</formula2>
    </dataValidation>
    <dataValidation allowBlank="1" showInputMessage="1" showErrorMessage="1" error="输入范围是64~1024，步长为2" sqref="A1:C1"/>
    <dataValidation type="custom" allowBlank="1" showInputMessage="1" showErrorMessage="1" error="Input range:[8, 'WidthMax'],and is an integer multiple of 8._x000a_" sqref="C4">
      <formula1>AND((C4&lt;=C2),(C4&gt;=8),(MOD(C4,8)=0))</formula1>
    </dataValidation>
    <dataValidation type="custom" allowBlank="1" showInputMessage="1" showErrorMessage="1" error="Input 1 or 2, and can not be entered when the 'BinningVertical' is not 1" sqref="C9">
      <formula1>AND(OR((C9=1),(C9=2)),C7=1)</formula1>
    </dataValidation>
    <dataValidation type="custom" allowBlank="1" showInputMessage="1" showErrorMessage="1" error="Input 1 or 2, and can not be entered when the 'DecimationHorizontal' is not 1" sqref="C6">
      <formula1>AND(OR((C6=1),(C6=2)),C8=1)</formula1>
    </dataValidation>
    <dataValidation type="custom" allowBlank="1" showInputMessage="1" showErrorMessage="1" error="Input range:[2, 'HeightMax'],and is an integer multiple of 2" sqref="C5">
      <formula1>AND((C5&lt;=C3),(C5&gt;=2),(MOD(C5,2)=0))</formula1>
    </dataValidation>
    <dataValidation type="custom" allowBlank="1" showInputMessage="1" showErrorMessage="1" error="Input 1 or 2, and can not be entered when the 'DecimationVertical' is not 1" sqref="C7">
      <formula1>AND(OR((C7=1),(C7=2)),C9=1)</formula1>
    </dataValidation>
    <dataValidation type="custom" allowBlank="1" showInputMessage="1" showErrorMessage="1" error="Input 1 or 2, and can not be entered when the 'BinningHorizontal' is not 1" sqref="C8">
      <formula1>AND(OR((C8=1),(C8=2)),C6=1)</formula1>
    </dataValidation>
    <dataValidation type="whole" allowBlank="1" showInputMessage="1" showErrorMessage="1" error="The input range :[5,15000000]" sqref="C10">
      <formula1>5</formula1>
      <formula2>15000000</formula2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Please enter 8 or 10" sqref="C12">
      <formula1>OR((C12=8),(C12=10))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allowBlank="1" showInputMessage="1" showErrorMessage="1" error="Set the value to exceed the maximum" sqref="C15"/>
    <dataValidation type="custom" allowBlank="1" showInputMessage="1" showErrorMessage="1" error="Set the value range :[ 0.1,10000.0], accurate to one decimal" sqref="C16">
      <formula1>AND(TRUNC(C16,1)=C16,(C16&gt;=0.1),(C16&lt;=10000))</formula1>
    </dataValidation>
    <dataValidation type="custom" allowBlank="1" showInputMessage="1" showErrorMessage="1" error="Please enter a 0 or 1" sqref="C17">
      <formula1>OR((C17=0),(C17=1))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allowBlank="1" showInputMessage="1" showErrorMessage="1" error="Set the value range [ 0,'BandwidthReserveMaxValue']" sqref="C20"/>
    <dataValidation type="list" allowBlank="1" showInputMessage="1" showErrorMessage="1" error="Please enter a 0 or 1" sqref="C21">
      <formula1>I101:J101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workbookViewId="0">
      <selection activeCell="B1" sqref="B1"/>
    </sheetView>
  </sheetViews>
  <sheetFormatPr defaultColWidth="9" defaultRowHeight="13.5"/>
  <cols>
    <col min="1" max="1" width="28.125" customWidth="1"/>
    <col min="2" max="2" width="18.875" customWidth="1"/>
  </cols>
  <sheetData>
    <row r="1" spans="1:3" s="643" customFormat="1">
      <c r="A1" s="647"/>
      <c r="B1" s="648"/>
    </row>
    <row r="2" spans="1:3" s="643" customFormat="1">
      <c r="A2" s="262" t="s">
        <v>199</v>
      </c>
      <c r="B2" s="262">
        <f>B91</f>
        <v>1280</v>
      </c>
    </row>
    <row r="3" spans="1:3" s="643" customFormat="1">
      <c r="A3" s="262" t="s">
        <v>201</v>
      </c>
      <c r="B3" s="262">
        <f>B92</f>
        <v>1024</v>
      </c>
    </row>
    <row r="4" spans="1:3" s="643" customFormat="1">
      <c r="A4" s="647" t="s">
        <v>203</v>
      </c>
      <c r="B4" s="107">
        <v>1280</v>
      </c>
      <c r="C4" s="263" t="str">
        <f>IF(OR(B4&gt;B2,B4&lt;8),H94,"")</f>
        <v/>
      </c>
    </row>
    <row r="5" spans="1:3" s="643" customFormat="1">
      <c r="A5" s="647" t="s">
        <v>205</v>
      </c>
      <c r="B5" s="107">
        <v>1024</v>
      </c>
      <c r="C5" s="263" t="str">
        <f>IF(OR(B5&gt;B3,B5&lt;2),H95,"")</f>
        <v/>
      </c>
    </row>
    <row r="6" spans="1:3" s="643" customFormat="1">
      <c r="A6" s="262" t="s">
        <v>207</v>
      </c>
      <c r="B6" s="264">
        <v>1</v>
      </c>
    </row>
    <row r="7" spans="1:3" s="643" customFormat="1">
      <c r="A7" s="262" t="s">
        <v>209</v>
      </c>
      <c r="B7" s="264">
        <v>1</v>
      </c>
    </row>
    <row r="8" spans="1:3" s="643" customFormat="1">
      <c r="A8" s="262" t="s">
        <v>211</v>
      </c>
      <c r="B8" s="264">
        <v>1</v>
      </c>
    </row>
    <row r="9" spans="1:3" s="643" customFormat="1">
      <c r="A9" s="262" t="s">
        <v>213</v>
      </c>
      <c r="B9" s="264">
        <v>1</v>
      </c>
    </row>
    <row r="10" spans="1:3" s="643" customFormat="1">
      <c r="A10" s="647" t="s">
        <v>215</v>
      </c>
      <c r="B10" s="107">
        <v>10000</v>
      </c>
    </row>
    <row r="11" spans="1:3" s="643" customFormat="1">
      <c r="A11" s="647" t="s">
        <v>217</v>
      </c>
      <c r="B11" s="107">
        <v>0</v>
      </c>
    </row>
    <row r="12" spans="1:3" s="643" customFormat="1">
      <c r="A12" s="647" t="s">
        <v>279</v>
      </c>
      <c r="B12" s="107">
        <v>8</v>
      </c>
    </row>
    <row r="13" spans="1:3" s="643" customFormat="1">
      <c r="A13" s="647" t="s">
        <v>221</v>
      </c>
      <c r="B13" s="107">
        <v>1500</v>
      </c>
    </row>
    <row r="14" spans="1:3" s="643" customFormat="1">
      <c r="A14" s="647" t="s">
        <v>223</v>
      </c>
      <c r="B14" s="107">
        <v>0</v>
      </c>
    </row>
    <row r="15" spans="1:3" s="643" customFormat="1">
      <c r="A15" s="647" t="s">
        <v>225</v>
      </c>
      <c r="B15" s="104">
        <f>B78</f>
        <v>180000</v>
      </c>
    </row>
    <row r="16" spans="1:3" s="643" customFormat="1">
      <c r="A16" s="647" t="s">
        <v>227</v>
      </c>
      <c r="B16" s="107">
        <v>90</v>
      </c>
    </row>
    <row r="17" spans="1:2" s="643" customFormat="1">
      <c r="A17" s="647" t="s">
        <v>229</v>
      </c>
      <c r="B17" s="107">
        <v>0</v>
      </c>
    </row>
    <row r="18" spans="1:2" s="643" customFormat="1">
      <c r="A18" s="647" t="s">
        <v>231</v>
      </c>
      <c r="B18" s="107">
        <v>1000</v>
      </c>
    </row>
    <row r="19" spans="1:2" s="670" customFormat="1">
      <c r="A19" s="647" t="s">
        <v>233</v>
      </c>
      <c r="B19" s="107">
        <v>10</v>
      </c>
    </row>
    <row r="20" spans="1:2" s="670" customFormat="1">
      <c r="A20" s="647" t="s">
        <v>235</v>
      </c>
      <c r="B20" s="104">
        <f>B82</f>
        <v>99</v>
      </c>
    </row>
    <row r="21" spans="1:2" s="670" customFormat="1">
      <c r="A21" s="104" t="s">
        <v>281</v>
      </c>
      <c r="B21" s="107">
        <v>0</v>
      </c>
    </row>
    <row r="22" spans="1:2" s="670" customFormat="1">
      <c r="A22" s="647"/>
      <c r="B22" s="104"/>
    </row>
    <row r="23" spans="1:2" hidden="1">
      <c r="A23" s="671" t="s">
        <v>283</v>
      </c>
      <c r="B23" s="671">
        <v>0</v>
      </c>
    </row>
    <row r="24" spans="1:2" hidden="1">
      <c r="A24" s="671" t="s">
        <v>285</v>
      </c>
      <c r="B24" s="671">
        <f>ROUNDUP(866*1000/B26,0)</f>
        <v>12028</v>
      </c>
    </row>
    <row r="25" spans="1:2" s="670" customFormat="1" hidden="1">
      <c r="A25" s="658" t="s">
        <v>286</v>
      </c>
      <c r="B25" s="110">
        <v>2</v>
      </c>
    </row>
    <row r="26" spans="1:2" s="670" customFormat="1" hidden="1">
      <c r="A26" s="658" t="s">
        <v>288</v>
      </c>
      <c r="B26" s="110">
        <v>72</v>
      </c>
    </row>
    <row r="27" spans="1:2" s="670" customFormat="1" hidden="1">
      <c r="A27" s="658" t="s">
        <v>290</v>
      </c>
      <c r="B27" s="110">
        <v>6</v>
      </c>
    </row>
    <row r="28" spans="1:2" s="670" customFormat="1" hidden="1">
      <c r="A28" s="658" t="s">
        <v>292</v>
      </c>
      <c r="B28" s="110">
        <v>13</v>
      </c>
    </row>
    <row r="29" spans="1:2" s="670" customFormat="1" hidden="1">
      <c r="A29" s="658" t="s">
        <v>294</v>
      </c>
      <c r="B29" s="110">
        <v>4</v>
      </c>
    </row>
    <row r="30" spans="1:2" s="670" customFormat="1" hidden="1">
      <c r="A30" s="658" t="s">
        <v>296</v>
      </c>
      <c r="B30" s="110">
        <v>86</v>
      </c>
    </row>
    <row r="31" spans="1:2" s="670" customFormat="1" hidden="1">
      <c r="A31" s="658" t="s">
        <v>298</v>
      </c>
      <c r="B31" s="110">
        <v>86</v>
      </c>
    </row>
    <row r="32" spans="1:2" s="670" customFormat="1" hidden="1">
      <c r="A32" s="658" t="s">
        <v>300</v>
      </c>
      <c r="B32" s="110">
        <v>40722</v>
      </c>
    </row>
    <row r="33" spans="1:2" s="670" customFormat="1" hidden="1">
      <c r="A33" s="658" t="s">
        <v>302</v>
      </c>
      <c r="B33" s="110">
        <v>3194</v>
      </c>
    </row>
    <row r="34" spans="1:2" s="670" customFormat="1" hidden="1">
      <c r="A34" s="658" t="s">
        <v>304</v>
      </c>
      <c r="B34" s="110">
        <v>10</v>
      </c>
    </row>
    <row r="35" spans="1:2" s="670" customFormat="1" hidden="1">
      <c r="A35" s="658" t="s">
        <v>306</v>
      </c>
      <c r="B35" s="110">
        <v>10</v>
      </c>
    </row>
    <row r="36" spans="1:2" s="670" customFormat="1" hidden="1">
      <c r="A36" s="658" t="s">
        <v>307</v>
      </c>
      <c r="B36" s="110">
        <v>2</v>
      </c>
    </row>
    <row r="37" spans="1:2" s="670" customFormat="1" hidden="1">
      <c r="A37" s="658" t="s">
        <v>308</v>
      </c>
      <c r="B37" s="110">
        <v>2</v>
      </c>
    </row>
    <row r="38" spans="1:2" s="670" customFormat="1" hidden="1">
      <c r="A38" s="658" t="s">
        <v>310</v>
      </c>
      <c r="B38" s="110">
        <v>0</v>
      </c>
    </row>
    <row r="39" spans="1:2" s="670" customFormat="1" hidden="1">
      <c r="A39" s="658" t="s">
        <v>312</v>
      </c>
      <c r="B39" s="110">
        <v>8</v>
      </c>
    </row>
    <row r="40" spans="1:2" s="670" customFormat="1" hidden="1">
      <c r="A40" s="658" t="s">
        <v>314</v>
      </c>
      <c r="B40" s="110">
        <v>1475</v>
      </c>
    </row>
    <row r="41" spans="1:2" s="670" customFormat="1" hidden="1">
      <c r="A41" s="658" t="s">
        <v>316</v>
      </c>
      <c r="B41" s="110">
        <v>40000</v>
      </c>
    </row>
    <row r="42" spans="1:2" s="670" customFormat="1" hidden="1">
      <c r="A42" s="658"/>
      <c r="B42" s="110">
        <v>1280</v>
      </c>
    </row>
    <row r="43" spans="1:2" hidden="1">
      <c r="A43" s="658" t="s">
        <v>319</v>
      </c>
      <c r="B43" s="110">
        <f>ROUNDUP((B31+B42/B25+B35+B38)*1000/B26,0)</f>
        <v>10223</v>
      </c>
    </row>
    <row r="44" spans="1:2" hidden="1">
      <c r="A44" s="658" t="s">
        <v>321</v>
      </c>
      <c r="B44" s="110">
        <f>ROUNDUP((B30+B4*B93/B25+B34+B38)*1000/B26,0)</f>
        <v>10223</v>
      </c>
    </row>
    <row r="45" spans="1:2" hidden="1">
      <c r="A45" s="658" t="s">
        <v>323</v>
      </c>
      <c r="B45" s="110">
        <f>B27*B43</f>
        <v>61338</v>
      </c>
    </row>
    <row r="46" spans="1:2" hidden="1">
      <c r="A46" s="658" t="s">
        <v>325</v>
      </c>
      <c r="B46" s="110">
        <f>B5*B94*B44</f>
        <v>10468352</v>
      </c>
    </row>
    <row r="47" spans="1:2" hidden="1">
      <c r="A47" s="658" t="s">
        <v>327</v>
      </c>
      <c r="B47" s="110">
        <f>B28*B43</f>
        <v>132899</v>
      </c>
    </row>
    <row r="48" spans="1:2" hidden="1">
      <c r="A48" s="658" t="s">
        <v>329</v>
      </c>
      <c r="B48" s="110">
        <f>B29*B43</f>
        <v>40892</v>
      </c>
    </row>
    <row r="49" spans="1:3" hidden="1">
      <c r="A49" s="658"/>
      <c r="B49" s="110">
        <f>B16*10</f>
        <v>900</v>
      </c>
      <c r="C49" s="672"/>
    </row>
    <row r="50" spans="1:3" hidden="1">
      <c r="A50" s="658"/>
      <c r="B50" s="110">
        <f>ROUNDUP((B31*1000/B26+B45+B24*B23+B46+B47+B32+B33+B41)/1000,0)</f>
        <v>10748</v>
      </c>
    </row>
    <row r="51" spans="1:3" hidden="1">
      <c r="A51" s="658"/>
      <c r="B51" s="110">
        <f>ROUNDUP((B48+B10*1000+B11*1000+B32+B33+B41)/1000,0)</f>
        <v>10125</v>
      </c>
    </row>
    <row r="52" spans="1:3" hidden="1">
      <c r="A52" s="658"/>
      <c r="B52" s="110">
        <v>0</v>
      </c>
      <c r="C52" s="672"/>
    </row>
    <row r="53" spans="1:3" hidden="1">
      <c r="A53" s="658" t="s">
        <v>331</v>
      </c>
      <c r="B53" s="110">
        <v>12</v>
      </c>
    </row>
    <row r="54" spans="1:3" hidden="1">
      <c r="A54" s="658" t="s">
        <v>333</v>
      </c>
      <c r="B54" s="110">
        <v>36</v>
      </c>
      <c r="C54" s="672"/>
    </row>
    <row r="55" spans="1:3" hidden="1">
      <c r="A55" s="658" t="s">
        <v>335</v>
      </c>
      <c r="B55" s="110">
        <v>10</v>
      </c>
      <c r="C55" s="672"/>
    </row>
    <row r="56" spans="1:3" hidden="1">
      <c r="A56" s="658" t="s">
        <v>337</v>
      </c>
      <c r="B56" s="110">
        <f>B4*B5*IF(B12=8,1,2)</f>
        <v>1310720</v>
      </c>
      <c r="C56" s="672"/>
    </row>
    <row r="57" spans="1:3" hidden="1">
      <c r="A57" s="658" t="s">
        <v>339</v>
      </c>
      <c r="B57" s="110">
        <f>B56</f>
        <v>1310720</v>
      </c>
      <c r="C57" s="672"/>
    </row>
    <row r="58" spans="1:3" hidden="1">
      <c r="A58" s="658" t="s">
        <v>341</v>
      </c>
      <c r="B58" s="110">
        <v>36</v>
      </c>
    </row>
    <row r="59" spans="1:3" hidden="1">
      <c r="A59" s="658" t="s">
        <v>343</v>
      </c>
      <c r="B59" s="110">
        <v>26</v>
      </c>
    </row>
    <row r="60" spans="1:3" hidden="1">
      <c r="A60" s="658" t="s">
        <v>345</v>
      </c>
      <c r="B60" s="110">
        <v>10</v>
      </c>
    </row>
    <row r="61" spans="1:3" hidden="1">
      <c r="A61" s="658" t="s">
        <v>347</v>
      </c>
      <c r="B61" s="110">
        <f>ROUNDDOWN((B4*B5*ROUNDUP(B12/8,0)+B52*32)/(B13-36),0)</f>
        <v>895</v>
      </c>
    </row>
    <row r="62" spans="1:3" hidden="1">
      <c r="A62" s="658" t="s">
        <v>348</v>
      </c>
      <c r="B62" s="110">
        <f>IF(B63=0,0,1)</f>
        <v>1</v>
      </c>
    </row>
    <row r="63" spans="1:3" hidden="1">
      <c r="A63" s="658" t="s">
        <v>349</v>
      </c>
      <c r="B63" s="110">
        <f>B4*B5*ROUNDUP(B12/8,0)+B52*32-(B13-36)*B61</f>
        <v>440</v>
      </c>
    </row>
    <row r="64" spans="1:3" hidden="1">
      <c r="A64" s="658" t="s">
        <v>351</v>
      </c>
      <c r="B64" s="110">
        <f>IF(B63&lt;B60,B60,B63)</f>
        <v>440</v>
      </c>
    </row>
    <row r="65" spans="1:3" hidden="1">
      <c r="A65" s="658" t="s">
        <v>353</v>
      </c>
      <c r="B65" s="110">
        <v>98</v>
      </c>
    </row>
    <row r="66" spans="1:3" hidden="1">
      <c r="A66" s="663" t="s">
        <v>355</v>
      </c>
      <c r="B66" s="110">
        <v>72</v>
      </c>
    </row>
    <row r="67" spans="1:3" hidden="1">
      <c r="A67" s="658" t="s">
        <v>357</v>
      </c>
      <c r="B67" s="110">
        <f>B61*(B13+B59)+B62*(B64+B58+B59)</f>
        <v>1366272</v>
      </c>
    </row>
    <row r="68" spans="1:3" hidden="1">
      <c r="A68" s="658" t="s">
        <v>358</v>
      </c>
      <c r="B68" s="110">
        <f>(2+B61+B62)*(B14+B53)</f>
        <v>10776</v>
      </c>
    </row>
    <row r="69" spans="1:3" hidden="1">
      <c r="A69" s="658" t="s">
        <v>359</v>
      </c>
      <c r="B69" s="110">
        <f>B65+B66+B67+B68</f>
        <v>1377218</v>
      </c>
    </row>
    <row r="70" spans="1:3" hidden="1">
      <c r="A70" s="658" t="s">
        <v>361</v>
      </c>
      <c r="B70" s="110">
        <f>ROUNDDOWN(B18*(100-B19)/80,0)</f>
        <v>1125</v>
      </c>
    </row>
    <row r="71" spans="1:3" hidden="1">
      <c r="A71" s="658" t="s">
        <v>363</v>
      </c>
      <c r="B71" s="110">
        <f>INT(B69/B70)*10</f>
        <v>12240</v>
      </c>
    </row>
    <row r="72" spans="1:3" hidden="1">
      <c r="A72" s="658" t="s">
        <v>365</v>
      </c>
      <c r="B72" s="110">
        <f>INT((B57+B54+B55)/B40)*10</f>
        <v>8880</v>
      </c>
    </row>
    <row r="73" spans="1:3" hidden="1">
      <c r="A73" s="658"/>
      <c r="B73" s="110">
        <f>MAX(B71,B72)</f>
        <v>12240</v>
      </c>
      <c r="C73" s="642"/>
    </row>
    <row r="74" spans="1:3" hidden="1">
      <c r="A74" s="658"/>
      <c r="B74" s="110">
        <f>ROUNDDOWN((1000000/B16)*B17,0)</f>
        <v>0</v>
      </c>
      <c r="C74" s="672"/>
    </row>
    <row r="75" spans="1:3" hidden="1">
      <c r="A75" s="658"/>
      <c r="B75" s="110">
        <f>IF(B21=0,MAX(B50,B51,B73,B74),MAX(B50,B51,B74))</f>
        <v>12240</v>
      </c>
    </row>
    <row r="76" spans="1:3" hidden="1">
      <c r="A76" s="658"/>
      <c r="B76" s="110">
        <f>ROUND(1000000/B75,2)</f>
        <v>81.7</v>
      </c>
    </row>
    <row r="77" spans="1:3" hidden="1">
      <c r="A77" s="658"/>
      <c r="B77" s="110">
        <f>12500*B18*(100-B19)</f>
        <v>1125000000</v>
      </c>
    </row>
    <row r="78" spans="1:3" hidden="1">
      <c r="A78" s="658"/>
      <c r="B78" s="110">
        <f>IF((ROUNDDOWN((B77-(62+B13-36)*B61-62-B63-170+B52*24)/(B61+3),0)-12)&gt;B79,B79,ROUNDDOWN((B77-(62+B13-36)*B61-62-B63-168+B52*24)/(B61+3),0)-12)</f>
        <v>180000</v>
      </c>
      <c r="C78" s="672"/>
    </row>
    <row r="79" spans="1:3" hidden="1">
      <c r="A79" s="658"/>
      <c r="B79" s="110">
        <f>IF(B18=1000,180000,18000)</f>
        <v>180000</v>
      </c>
      <c r="C79" s="672"/>
    </row>
    <row r="80" spans="1:3" hidden="1">
      <c r="A80" s="658"/>
      <c r="B80" s="110">
        <f>((62+(B13-36))*B61+62+B63+170)+(B14+12)*(B61+3)</f>
        <v>1377218</v>
      </c>
      <c r="C80" s="672"/>
    </row>
    <row r="81" spans="1:11" hidden="1">
      <c r="A81" s="658"/>
      <c r="B81" s="110">
        <f>1250000*B18</f>
        <v>1250000000</v>
      </c>
      <c r="C81" s="672"/>
    </row>
    <row r="82" spans="1:11" hidden="1">
      <c r="A82" s="658"/>
      <c r="B82" s="110">
        <f>IF((100-ROUNDDOWN(B80*10/(B81/10),0)-1)&lt;0,0,(100-ROUNDDOWN(B80*10/(B81/10),0)-1))</f>
        <v>99</v>
      </c>
      <c r="C82" s="672"/>
    </row>
    <row r="83" spans="1:11" hidden="1">
      <c r="A83" s="658"/>
      <c r="B83" s="110">
        <f>ROUNDDOWN((B77-(62+B13-36)*B61-62-B63-170+B52*24)/(B61+3),0)-12</f>
        <v>1251250</v>
      </c>
      <c r="C83" s="672"/>
    </row>
    <row r="84" spans="1:11" hidden="1">
      <c r="A84" s="658"/>
      <c r="B84" s="110">
        <f>ROUNDDOWN(ROUNDDOWN(ROUNDDOWN(ROUNDDOWN(B4*ROUNDDOWN(1000000000/B75,0)/10,0)*ROUNDUP(B12/8,0)/10,0)*B5/10,0)*10/(100-B19),0)*10</f>
        <v>118982760</v>
      </c>
      <c r="C84" s="672"/>
    </row>
    <row r="85" spans="1:11" ht="14.25" hidden="1">
      <c r="A85" s="666"/>
      <c r="B85" s="118"/>
      <c r="C85" s="672"/>
    </row>
    <row r="86" spans="1:11" ht="14.25">
      <c r="A86" s="666" t="s">
        <v>273</v>
      </c>
      <c r="B86" s="118">
        <f>B76</f>
        <v>81.7</v>
      </c>
      <c r="C86" s="672"/>
    </row>
    <row r="87" spans="1:11" hidden="1">
      <c r="A87" s="658"/>
      <c r="B87" s="658">
        <f>B50</f>
        <v>10748</v>
      </c>
      <c r="C87" s="672"/>
    </row>
    <row r="88" spans="1:11" hidden="1">
      <c r="A88" s="658"/>
      <c r="B88" s="658">
        <f>B51</f>
        <v>10125</v>
      </c>
      <c r="C88" s="672"/>
    </row>
    <row r="89" spans="1:11" hidden="1">
      <c r="A89" s="658"/>
      <c r="B89" s="658">
        <f>B74</f>
        <v>0</v>
      </c>
      <c r="C89" s="672"/>
    </row>
    <row r="90" spans="1:11" hidden="1">
      <c r="A90" s="658"/>
      <c r="B90" s="658">
        <f>B73</f>
        <v>12240</v>
      </c>
    </row>
    <row r="91" spans="1:11" hidden="1">
      <c r="A91" s="269"/>
      <c r="B91" s="269">
        <f>ROUNDDOWN(1280/(16*B93),0)*16</f>
        <v>1280</v>
      </c>
    </row>
    <row r="92" spans="1:11" hidden="1">
      <c r="A92" s="269"/>
      <c r="B92" s="269">
        <f>ROUNDDOWN(1024/(2*B94),0)*2</f>
        <v>1024</v>
      </c>
    </row>
    <row r="93" spans="1:11" hidden="1">
      <c r="A93" s="269"/>
      <c r="B93" s="269">
        <f>IF(B6=1,B8,B6)</f>
        <v>1</v>
      </c>
      <c r="H93" s="268" t="s">
        <v>368</v>
      </c>
      <c r="I93" s="268"/>
      <c r="J93" s="268"/>
      <c r="K93" s="268"/>
    </row>
    <row r="94" spans="1:11" hidden="1">
      <c r="A94" s="269"/>
      <c r="B94" s="269">
        <f>IF(B7=1,B9,B7)</f>
        <v>1</v>
      </c>
      <c r="H94" s="268" t="s">
        <v>369</v>
      </c>
      <c r="I94" s="268"/>
      <c r="J94" s="268"/>
      <c r="K94" s="268"/>
    </row>
    <row r="95" spans="1:11" hidden="1">
      <c r="A95" s="269"/>
      <c r="B95" s="269">
        <f>ROUNDDOWN(B4/16,0)*16*B93</f>
        <v>1280</v>
      </c>
      <c r="H95" s="268" t="s">
        <v>370</v>
      </c>
      <c r="I95" s="268"/>
      <c r="J95" s="268"/>
      <c r="K95" s="268"/>
    </row>
    <row r="96" spans="1:11" hidden="1">
      <c r="A96" s="269"/>
      <c r="B96" s="269">
        <f>ROUNDDOWN(B5/2,0)*2*B94</f>
        <v>1024</v>
      </c>
      <c r="H96" s="268" t="s">
        <v>371</v>
      </c>
      <c r="I96" s="268"/>
      <c r="J96" s="268"/>
      <c r="K96" s="268"/>
    </row>
    <row r="97" spans="1:11" hidden="1">
      <c r="A97" s="269"/>
      <c r="B97" s="269">
        <f>ROUNDDOWN(B4/16,0)*16*B93</f>
        <v>1280</v>
      </c>
      <c r="H97" s="268"/>
      <c r="I97" s="268"/>
      <c r="J97" s="268"/>
      <c r="K97" s="268"/>
    </row>
    <row r="98" spans="1:11" hidden="1">
      <c r="A98" s="269"/>
      <c r="B98" s="269">
        <f>ROUNDDOWN(B5/2,0)*2*B94</f>
        <v>1024</v>
      </c>
      <c r="H98" s="268"/>
      <c r="I98" s="268"/>
      <c r="J98" s="268"/>
      <c r="K98" s="268"/>
    </row>
    <row r="99" spans="1:11" hidden="1">
      <c r="A99" s="269"/>
      <c r="B99" s="269">
        <f>ROUNDDOWN(B97/(16*B93),0)*16</f>
        <v>1280</v>
      </c>
      <c r="H99" s="268" t="s">
        <v>278</v>
      </c>
      <c r="I99" s="268"/>
      <c r="J99" s="268"/>
      <c r="K99" s="268"/>
    </row>
    <row r="100" spans="1:11" hidden="1">
      <c r="A100" s="269"/>
      <c r="B100" s="269">
        <f>ROUNDDOWN(B98/(2*B94),0)*2</f>
        <v>1024</v>
      </c>
    </row>
    <row r="101" spans="1:11" hidden="1"/>
    <row r="102" spans="1:11" ht="12.75" hidden="1" customHeight="1"/>
  </sheetData>
  <sheetProtection algorithmName="SHA-512" hashValue="xpxufXymNqGOkrvr2OFSnTLy3ZCiKCYfOdOSyfHV9i7QrGystJNXDwk1flN0OwVHMqULszJhfe40lg6b/ep4Pw==" saltValue="FO/5JHkdghfQXCiMTo6uLA==" spinCount="100000" sheet="1" selectLockedCells="1"/>
  <phoneticPr fontId="37" type="noConversion"/>
  <dataValidations count="15">
    <dataValidation type="whole" allowBlank="1" showInputMessage="1" showErrorMessage="1" error="输入范围是0~5000" sqref="B11">
      <formula1>0</formula1>
      <formula2>5000</formula2>
    </dataValidation>
    <dataValidation allowBlank="1" showInputMessage="1" showErrorMessage="1" error="输入范围是64~1024，步长为2" sqref="A1:B1"/>
    <dataValidation type="custom" allowBlank="1" showInputMessage="1" showErrorMessage="1" error="Input range from 32 to 1280, and is an integer multiple of 16" sqref="B4">
      <formula1>AND((B4&lt;=B2),(B4&gt;=32),(MOD(B4,16)=0))</formula1>
    </dataValidation>
    <dataValidation type="custom" allowBlank="1" showInputMessage="1" showErrorMessage="1" error="Input 1000 or 100" sqref="B18">
      <formula1>OR((B18=1000),(B18=100))</formula1>
    </dataValidation>
    <dataValidation type="whole" allowBlank="1" showInputMessage="1" showErrorMessage="1" error="Input range is 0~GevSCPDMaxValue" sqref="B14">
      <formula1>0</formula1>
      <formula2>B15</formula2>
    </dataValidation>
    <dataValidation type="custom" allowBlank="1" showInputMessage="1" showErrorMessage="1" error="Input range from 2 to 1024, and is an integer multiple of 2" sqref="B5">
      <formula1>AND((B5&lt;=B3),(B5&gt;=2),(MOD(B5,2)=0))</formula1>
    </dataValidation>
    <dataValidation type="whole" allowBlank="1" showInputMessage="1" showErrorMessage="1" error="Input range from 5 to 15000000" sqref="B10">
      <formula1>5</formula1>
      <formula2>15000000</formula2>
    </dataValidation>
    <dataValidation type="custom" allowBlank="1" showInputMessage="1" showErrorMessage="1" error="Input 8 or 10" sqref="B12">
      <formula1>OR((B12=8),(B12=10))</formula1>
    </dataValidation>
    <dataValidation type="custom" allowBlank="1" showInputMessage="1" showErrorMessage="1" error="Input range is 512~8192, step is 4" sqref="B13">
      <formula1>AND((B13&lt;=8192),(B13&gt;=512),(MOD(B13,4)=0))</formula1>
    </dataValidation>
    <dataValidation type="custom" allowBlank="1" showInputMessage="1" showErrorMessage="1" error="Input range from 0.1 to 10000, step 0.1" sqref="B16">
      <formula1>AND(TRUNC(B16,1)=B16,(B16&gt;=0.1),(B16&lt;=10000))</formula1>
    </dataValidation>
    <dataValidation type="custom" allowBlank="1" showInputMessage="1" showErrorMessage="1" error="Input 0 or 1" sqref="B17">
      <formula1>OR((B17=0),(B17=1))</formula1>
    </dataValidation>
    <dataValidation type="whole" allowBlank="1" showInputMessage="1" showErrorMessage="1" error="Input range:[0, 'BandwidthReserveMaxValue'], and is an integer multiple of 1" sqref="B19">
      <formula1>0</formula1>
      <formula2>B20</formula2>
    </dataValidation>
    <dataValidation type="custom" allowBlank="1" showInputMessage="1" showErrorMessage="1" error="Input 1 or 2" sqref="B21">
      <formula1>OR((B21=0),(B21=1))</formula1>
    </dataValidation>
    <dataValidation type="custom" allowBlank="1" showInputMessage="1" showErrorMessage="1" error="Input 1 or 2" sqref="B6:B7">
      <formula1>AND(OR((B6=1),(B6=2)),B8=1)</formula1>
    </dataValidation>
    <dataValidation type="custom" allowBlank="1" showInputMessage="1" showErrorMessage="1" error="Input 1 or 2" sqref="B8:B9">
      <formula1>AND(OR((B8=1),(B8=2)),B6=1)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workbookViewId="0">
      <selection activeCell="B21" sqref="B21"/>
    </sheetView>
  </sheetViews>
  <sheetFormatPr defaultColWidth="9" defaultRowHeight="13.5"/>
  <cols>
    <col min="1" max="1" width="28.125" style="116" customWidth="1"/>
    <col min="2" max="2" width="18.875" style="116" customWidth="1"/>
    <col min="3" max="16384" width="9" style="116"/>
  </cols>
  <sheetData>
    <row r="1" spans="1:3" s="645" customFormat="1">
      <c r="A1" s="647"/>
      <c r="B1" s="648"/>
    </row>
    <row r="2" spans="1:3" s="645" customFormat="1">
      <c r="A2" s="649" t="s">
        <v>199</v>
      </c>
      <c r="B2" s="649">
        <f>B89</f>
        <v>1280</v>
      </c>
    </row>
    <row r="3" spans="1:3" s="645" customFormat="1">
      <c r="A3" s="649" t="s">
        <v>201</v>
      </c>
      <c r="B3" s="649">
        <f>B90</f>
        <v>1024</v>
      </c>
    </row>
    <row r="4" spans="1:3" s="645" customFormat="1">
      <c r="A4" s="647" t="s">
        <v>203</v>
      </c>
      <c r="B4" s="122">
        <v>1280</v>
      </c>
      <c r="C4" s="650" t="str">
        <f>IF(OR(B4&gt;B2,B4&lt;4),D101,"")</f>
        <v/>
      </c>
    </row>
    <row r="5" spans="1:3" s="645" customFormat="1">
      <c r="A5" s="647" t="s">
        <v>205</v>
      </c>
      <c r="B5" s="122">
        <v>1024</v>
      </c>
      <c r="C5" s="650" t="str">
        <f>IF(OR(B5&gt;B3,B5&lt;2),D102,"")</f>
        <v/>
      </c>
    </row>
    <row r="6" spans="1:3" s="645" customFormat="1">
      <c r="A6" s="649" t="s">
        <v>207</v>
      </c>
      <c r="B6" s="651">
        <v>1</v>
      </c>
    </row>
    <row r="7" spans="1:3" s="645" customFormat="1">
      <c r="A7" s="649" t="s">
        <v>209</v>
      </c>
      <c r="B7" s="651">
        <v>1</v>
      </c>
    </row>
    <row r="8" spans="1:3" s="645" customFormat="1">
      <c r="A8" s="649" t="s">
        <v>211</v>
      </c>
      <c r="B8" s="651">
        <v>1</v>
      </c>
    </row>
    <row r="9" spans="1:3" s="645" customFormat="1">
      <c r="A9" s="649" t="s">
        <v>213</v>
      </c>
      <c r="B9" s="651">
        <v>1</v>
      </c>
    </row>
    <row r="10" spans="1:3" s="645" customFormat="1">
      <c r="A10" s="647" t="s">
        <v>215</v>
      </c>
      <c r="B10" s="122">
        <v>10000</v>
      </c>
    </row>
    <row r="11" spans="1:3" s="645" customFormat="1">
      <c r="A11" s="647" t="s">
        <v>217</v>
      </c>
      <c r="B11" s="122">
        <v>0</v>
      </c>
    </row>
    <row r="12" spans="1:3" s="645" customFormat="1">
      <c r="A12" s="647" t="s">
        <v>279</v>
      </c>
      <c r="B12" s="122">
        <v>8</v>
      </c>
    </row>
    <row r="13" spans="1:3" s="645" customFormat="1">
      <c r="A13" s="647" t="s">
        <v>221</v>
      </c>
      <c r="B13" s="122">
        <v>1500</v>
      </c>
    </row>
    <row r="14" spans="1:3" s="645" customFormat="1">
      <c r="A14" s="647" t="s">
        <v>223</v>
      </c>
      <c r="B14" s="122">
        <v>0</v>
      </c>
    </row>
    <row r="15" spans="1:3" s="645" customFormat="1">
      <c r="A15" s="647" t="s">
        <v>225</v>
      </c>
      <c r="B15" s="121">
        <f>B77</f>
        <v>180000</v>
      </c>
    </row>
    <row r="16" spans="1:3" s="645" customFormat="1">
      <c r="A16" s="647" t="s">
        <v>227</v>
      </c>
      <c r="B16" s="122">
        <v>90</v>
      </c>
    </row>
    <row r="17" spans="1:3" s="645" customFormat="1">
      <c r="A17" s="647" t="s">
        <v>229</v>
      </c>
      <c r="B17" s="122">
        <v>0</v>
      </c>
    </row>
    <row r="18" spans="1:3" s="645" customFormat="1">
      <c r="A18" s="647" t="s">
        <v>231</v>
      </c>
      <c r="B18" s="122">
        <v>1000</v>
      </c>
    </row>
    <row r="19" spans="1:3" s="646" customFormat="1">
      <c r="A19" s="647" t="s">
        <v>233</v>
      </c>
      <c r="B19" s="122">
        <v>10</v>
      </c>
    </row>
    <row r="20" spans="1:3" s="646" customFormat="1">
      <c r="A20" s="647" t="s">
        <v>235</v>
      </c>
      <c r="B20" s="121">
        <v>99</v>
      </c>
    </row>
    <row r="21" spans="1:3" s="646" customFormat="1">
      <c r="A21" s="121" t="s">
        <v>281</v>
      </c>
      <c r="B21" s="122">
        <v>0</v>
      </c>
    </row>
    <row r="22" spans="1:3" s="646" customFormat="1">
      <c r="A22" s="121" t="s">
        <v>372</v>
      </c>
      <c r="B22" s="122">
        <v>0</v>
      </c>
    </row>
    <row r="23" spans="1:3" s="646" customFormat="1">
      <c r="A23" s="647"/>
      <c r="B23" s="121"/>
    </row>
    <row r="24" spans="1:3" hidden="1">
      <c r="A24" s="652" t="s">
        <v>373</v>
      </c>
      <c r="B24" s="653">
        <v>20000</v>
      </c>
      <c r="C24" s="654"/>
    </row>
    <row r="25" spans="1:3" hidden="1">
      <c r="A25" s="652" t="s">
        <v>374</v>
      </c>
      <c r="B25" s="653">
        <f>(B24*72/2)/10</f>
        <v>72000</v>
      </c>
      <c r="C25" s="654"/>
    </row>
    <row r="26" spans="1:3" s="646" customFormat="1" hidden="1">
      <c r="A26" s="655" t="s">
        <v>375</v>
      </c>
      <c r="B26" s="656">
        <v>0</v>
      </c>
    </row>
    <row r="27" spans="1:3" s="646" customFormat="1" hidden="1">
      <c r="A27" s="655" t="s">
        <v>376</v>
      </c>
      <c r="B27" s="656">
        <v>0</v>
      </c>
    </row>
    <row r="28" spans="1:3" s="646" customFormat="1" hidden="1">
      <c r="A28" s="655" t="s">
        <v>260</v>
      </c>
      <c r="B28" s="656">
        <f>642</f>
        <v>642</v>
      </c>
      <c r="C28" s="657"/>
    </row>
    <row r="29" spans="1:3" s="646" customFormat="1" hidden="1">
      <c r="A29" s="655" t="s">
        <v>377</v>
      </c>
      <c r="B29" s="656">
        <f>ROUNDUP(B28/B25*50*1000,0)</f>
        <v>446</v>
      </c>
      <c r="C29" s="657"/>
    </row>
    <row r="30" spans="1:3" s="646" customFormat="1" hidden="1">
      <c r="A30" s="655" t="s">
        <v>378</v>
      </c>
      <c r="B30" s="656">
        <v>4</v>
      </c>
    </row>
    <row r="31" spans="1:3" s="646" customFormat="1" hidden="1">
      <c r="A31" s="655" t="s">
        <v>379</v>
      </c>
      <c r="B31" s="656">
        <v>2</v>
      </c>
    </row>
    <row r="32" spans="1:3" s="646" customFormat="1" hidden="1">
      <c r="A32" s="655" t="s">
        <v>380</v>
      </c>
      <c r="B32" s="656">
        <v>2</v>
      </c>
    </row>
    <row r="33" spans="1:3" s="646" customFormat="1" hidden="1">
      <c r="A33" s="655" t="s">
        <v>381</v>
      </c>
      <c r="B33" s="656">
        <v>5</v>
      </c>
      <c r="C33" s="657"/>
    </row>
    <row r="34" spans="1:3" s="646" customFormat="1" hidden="1">
      <c r="A34" s="655" t="s">
        <v>316</v>
      </c>
      <c r="B34" s="656">
        <v>2</v>
      </c>
    </row>
    <row r="35" spans="1:3" s="646" customFormat="1" hidden="1">
      <c r="A35" s="655" t="s">
        <v>382</v>
      </c>
      <c r="B35" s="656">
        <v>1</v>
      </c>
    </row>
    <row r="36" spans="1:3" s="646" customFormat="1" hidden="1">
      <c r="A36" s="658" t="s">
        <v>383</v>
      </c>
      <c r="B36" s="656">
        <v>2</v>
      </c>
    </row>
    <row r="37" spans="1:3" s="646" customFormat="1" hidden="1">
      <c r="A37" s="655" t="s">
        <v>384</v>
      </c>
      <c r="B37" s="656">
        <v>1280</v>
      </c>
    </row>
    <row r="38" spans="1:3" s="646" customFormat="1" hidden="1">
      <c r="A38" s="655" t="s">
        <v>385</v>
      </c>
      <c r="B38" s="656">
        <v>80000</v>
      </c>
      <c r="C38" s="654"/>
    </row>
    <row r="39" spans="1:3" s="646" customFormat="1" hidden="1">
      <c r="A39" s="655" t="s">
        <v>386</v>
      </c>
      <c r="B39" s="656">
        <v>7</v>
      </c>
    </row>
    <row r="40" spans="1:3" s="646" customFormat="1" hidden="1">
      <c r="A40" s="655" t="s">
        <v>387</v>
      </c>
      <c r="B40" s="656">
        <v>1</v>
      </c>
    </row>
    <row r="41" spans="1:3" s="646" customFormat="1" hidden="1">
      <c r="A41" s="655" t="s">
        <v>388</v>
      </c>
      <c r="B41" s="656">
        <v>14</v>
      </c>
    </row>
    <row r="42" spans="1:3" s="646" customFormat="1" hidden="1">
      <c r="A42" s="659" t="s">
        <v>389</v>
      </c>
      <c r="B42" s="656">
        <v>20</v>
      </c>
    </row>
    <row r="43" spans="1:3" hidden="1">
      <c r="A43" s="655" t="s">
        <v>390</v>
      </c>
      <c r="B43" s="656">
        <v>8</v>
      </c>
    </row>
    <row r="44" spans="1:3" hidden="1">
      <c r="A44" s="658" t="s">
        <v>391</v>
      </c>
      <c r="B44" s="656">
        <v>8</v>
      </c>
    </row>
    <row r="45" spans="1:3" hidden="1">
      <c r="A45" s="658" t="s">
        <v>392</v>
      </c>
      <c r="B45" s="656">
        <v>4</v>
      </c>
    </row>
    <row r="46" spans="1:3" hidden="1">
      <c r="A46" s="658" t="s">
        <v>331</v>
      </c>
      <c r="B46" s="656">
        <v>12</v>
      </c>
    </row>
    <row r="47" spans="1:3" hidden="1">
      <c r="A47" s="658" t="s">
        <v>341</v>
      </c>
      <c r="B47" s="656">
        <f>SUM(B42:B44)</f>
        <v>36</v>
      </c>
    </row>
    <row r="48" spans="1:3" hidden="1">
      <c r="A48" s="658" t="s">
        <v>343</v>
      </c>
      <c r="B48" s="656">
        <f>SUM(B39+B40+B45+B41)</f>
        <v>26</v>
      </c>
    </row>
    <row r="49" spans="1:3" hidden="1">
      <c r="A49" s="655" t="s">
        <v>345</v>
      </c>
      <c r="B49" s="656">
        <f>SUM(64-B41-B45-B47)</f>
        <v>10</v>
      </c>
      <c r="C49" s="660"/>
    </row>
    <row r="50" spans="1:3" hidden="1">
      <c r="A50" s="655" t="s">
        <v>393</v>
      </c>
      <c r="B50" s="656">
        <v>36</v>
      </c>
    </row>
    <row r="51" spans="1:3" hidden="1">
      <c r="A51" s="655" t="s">
        <v>394</v>
      </c>
      <c r="B51" s="656">
        <v>10</v>
      </c>
      <c r="C51" s="660"/>
    </row>
    <row r="52" spans="1:3" hidden="1">
      <c r="A52" s="655" t="s">
        <v>395</v>
      </c>
      <c r="B52" s="656">
        <v>48</v>
      </c>
    </row>
    <row r="53" spans="1:3" hidden="1">
      <c r="A53" s="658" t="s">
        <v>337</v>
      </c>
      <c r="B53" s="656">
        <f>IF(B12=8,1,2)*B4*B5</f>
        <v>1310720</v>
      </c>
      <c r="C53" s="661"/>
    </row>
    <row r="54" spans="1:3" hidden="1">
      <c r="A54" s="658" t="s">
        <v>339</v>
      </c>
      <c r="B54" s="662">
        <f>SUM(B53+B22*B52)</f>
        <v>1310720</v>
      </c>
      <c r="C54" s="660"/>
    </row>
    <row r="55" spans="1:3" hidden="1">
      <c r="A55" s="658" t="s">
        <v>347</v>
      </c>
      <c r="B55" s="656">
        <f>ROUNDDOWN(B54/(B13-B47),0)</f>
        <v>895</v>
      </c>
      <c r="C55" s="660"/>
    </row>
    <row r="56" spans="1:3" hidden="1">
      <c r="A56" s="658" t="s">
        <v>349</v>
      </c>
      <c r="B56" s="656">
        <f>MOD(B54,B13-B47)</f>
        <v>440</v>
      </c>
      <c r="C56" s="660"/>
    </row>
    <row r="57" spans="1:3" hidden="1">
      <c r="A57" s="658" t="s">
        <v>348</v>
      </c>
      <c r="B57" s="656">
        <f>IF(B56=0,0,1)</f>
        <v>1</v>
      </c>
    </row>
    <row r="58" spans="1:3" hidden="1">
      <c r="A58" s="658" t="s">
        <v>351</v>
      </c>
      <c r="B58" s="656">
        <f>IF(B56&lt;B49,B49,B56)</f>
        <v>440</v>
      </c>
    </row>
    <row r="59" spans="1:3" hidden="1">
      <c r="A59" s="658" t="s">
        <v>353</v>
      </c>
      <c r="B59" s="656">
        <f>SUM(B48+B47+B50)</f>
        <v>98</v>
      </c>
    </row>
    <row r="60" spans="1:3" hidden="1">
      <c r="A60" s="658" t="s">
        <v>355</v>
      </c>
      <c r="B60" s="656">
        <f>SUM(B48+B47+B51)</f>
        <v>72</v>
      </c>
    </row>
    <row r="61" spans="1:3" hidden="1">
      <c r="A61" s="658" t="s">
        <v>357</v>
      </c>
      <c r="B61" s="656">
        <f>SUM(B55*(B13+B48)+B57*(B58+B48+B47))</f>
        <v>1366272</v>
      </c>
    </row>
    <row r="62" spans="1:3" hidden="1">
      <c r="A62" s="658" t="s">
        <v>358</v>
      </c>
      <c r="B62" s="656">
        <f>(B57+B55+2)*(B46+B14)</f>
        <v>10776</v>
      </c>
    </row>
    <row r="63" spans="1:3" hidden="1">
      <c r="A63" s="658" t="s">
        <v>359</v>
      </c>
      <c r="B63" s="656">
        <f>SUM(B59:B62)</f>
        <v>1377218</v>
      </c>
    </row>
    <row r="64" spans="1:3" hidden="1">
      <c r="A64" s="658" t="s">
        <v>361</v>
      </c>
      <c r="B64" s="656">
        <f>INT(1000000*B18*(100-B19)/80)</f>
        <v>1125000000</v>
      </c>
      <c r="C64" s="654"/>
    </row>
    <row r="65" spans="1:3" hidden="1">
      <c r="A65" s="663" t="s">
        <v>363</v>
      </c>
      <c r="B65" s="656">
        <f>ROUNDUP(ROUNDUP(B63*1000000000/B64,0)*10/B67,0)</f>
        <v>1373</v>
      </c>
    </row>
    <row r="66" spans="1:3" hidden="1">
      <c r="A66" s="658"/>
      <c r="B66" s="126"/>
    </row>
    <row r="67" spans="1:3" hidden="1">
      <c r="A67" s="655" t="s">
        <v>396</v>
      </c>
      <c r="B67" s="126">
        <f>ROUNDUP(1000000*B28/B25,0)</f>
        <v>8917</v>
      </c>
    </row>
    <row r="68" spans="1:3" hidden="1">
      <c r="A68" s="658"/>
      <c r="B68" s="126"/>
    </row>
    <row r="69" spans="1:3" hidden="1">
      <c r="A69" s="655" t="s">
        <v>397</v>
      </c>
      <c r="B69" s="126">
        <f>MAX(ROUND((1000*B10-B32)/B67,0),1)</f>
        <v>1121</v>
      </c>
    </row>
    <row r="70" spans="1:3" hidden="1">
      <c r="A70" s="655" t="s">
        <v>398</v>
      </c>
      <c r="B70" s="126">
        <f>ROUNDUP((1000*B11)/B67,0)</f>
        <v>0</v>
      </c>
      <c r="C70" s="664"/>
    </row>
    <row r="71" spans="1:3" hidden="1">
      <c r="A71" s="655" t="s">
        <v>399</v>
      </c>
      <c r="B71" s="126">
        <f>(B5*B7+B30+B31+B32+B34)</f>
        <v>1034</v>
      </c>
    </row>
    <row r="72" spans="1:3" hidden="1">
      <c r="A72" s="658"/>
      <c r="B72" s="126"/>
    </row>
    <row r="73" spans="1:3" hidden="1">
      <c r="A73" s="655" t="s">
        <v>400</v>
      </c>
      <c r="B73" s="126">
        <f>B83*B53</f>
        <v>107046502.40000001</v>
      </c>
      <c r="C73" s="660"/>
    </row>
    <row r="74" spans="1:3" hidden="1">
      <c r="A74" s="655" t="s">
        <v>401</v>
      </c>
      <c r="B74" s="126">
        <f>B83*B61</f>
        <v>111583434.24000001</v>
      </c>
      <c r="C74" s="660"/>
    </row>
    <row r="75" spans="1:3" hidden="1">
      <c r="A75" s="655" t="s">
        <v>402</v>
      </c>
      <c r="B75" s="126">
        <f>1250*B18*(100-B19)</f>
        <v>112500000</v>
      </c>
      <c r="C75" s="660"/>
    </row>
    <row r="76" spans="1:3" hidden="1">
      <c r="A76" s="655"/>
      <c r="B76" s="126"/>
      <c r="C76" s="660"/>
    </row>
    <row r="77" spans="1:3" hidden="1">
      <c r="A77" s="655" t="s">
        <v>403</v>
      </c>
      <c r="B77" s="126">
        <f>IF(ROUNDDOWN((B64-(B61+B59+B60)/(B55+B57+2)),0)-12&lt;180000,ROUNDDOWN((B64-(B61+B59+B60)/(B55+B57+2)),0)-12,180000)</f>
        <v>180000</v>
      </c>
      <c r="C77" s="660"/>
    </row>
    <row r="78" spans="1:3" hidden="1">
      <c r="A78" s="655" t="s">
        <v>404</v>
      </c>
      <c r="B78" s="126">
        <f>IF((100-ROUNDDOWN(10*B63/(125000*B18),0)-1)&lt;0,0,(100-ROUNDDOWN(10*B63/(125000*B18),0)-1))</f>
        <v>99</v>
      </c>
      <c r="C78" s="660"/>
    </row>
    <row r="79" spans="1:3" hidden="1">
      <c r="A79" s="655"/>
      <c r="B79" s="126"/>
      <c r="C79" s="660"/>
    </row>
    <row r="80" spans="1:3" hidden="1">
      <c r="A80" s="655" t="s">
        <v>405</v>
      </c>
      <c r="B80" s="665">
        <v>1</v>
      </c>
      <c r="C80" s="660"/>
    </row>
    <row r="81" spans="1:11" hidden="1">
      <c r="A81" s="655" t="s">
        <v>406</v>
      </c>
      <c r="B81" s="126">
        <f>IF(B80=0,IF(B21=1,ROUNDUP(MAX(B84,B85,B86,B87,B88)*B67/1000,0),ROUNDUP(MAX(B84,B85,B86,B87,B88)*B67/1000,0)),IF(B21=1,ROUNDUP(MAX(B84,B85,B86)*B67/1000,0),ROUNDUP(MAX(B84,B85,B86:B87)*B67/1000,0)))</f>
        <v>12244</v>
      </c>
      <c r="C81" s="660"/>
    </row>
    <row r="82" spans="1:11" ht="13.5" customHeight="1">
      <c r="A82" s="666"/>
      <c r="B82" s="130"/>
      <c r="C82" s="660"/>
    </row>
    <row r="83" spans="1:11" ht="14.25">
      <c r="A83" s="666" t="s">
        <v>407</v>
      </c>
      <c r="B83" s="130">
        <f>ROUND(1000000/B81,2)</f>
        <v>81.67</v>
      </c>
      <c r="C83" s="660" t="str">
        <f>IF(B21=1,D103,"")</f>
        <v/>
      </c>
    </row>
    <row r="84" spans="1:11" hidden="1">
      <c r="A84" s="658"/>
      <c r="B84" s="658">
        <f>SUM(B71,B33)</f>
        <v>1039</v>
      </c>
      <c r="C84" s="660"/>
    </row>
    <row r="85" spans="1:11" hidden="1">
      <c r="A85" s="658"/>
      <c r="B85" s="658">
        <f>SUM(B69,B70,B30,B31,B33+B34)</f>
        <v>1134</v>
      </c>
      <c r="C85" s="660"/>
    </row>
    <row r="86" spans="1:11" hidden="1">
      <c r="A86" s="658"/>
      <c r="B86" s="658">
        <f>ROUNDUP(((1000000000/B16)/B67)*B17,0)</f>
        <v>0</v>
      </c>
      <c r="C86" s="660"/>
    </row>
    <row r="87" spans="1:11" hidden="1">
      <c r="A87" s="658"/>
      <c r="B87" s="658">
        <f>B65</f>
        <v>1373</v>
      </c>
    </row>
    <row r="88" spans="1:11" hidden="1">
      <c r="A88" s="658"/>
      <c r="B88" s="658">
        <f>B85+B5*B9</f>
        <v>2158</v>
      </c>
    </row>
    <row r="89" spans="1:11" hidden="1">
      <c r="A89" s="667"/>
      <c r="B89" s="667">
        <f>ROUNDDOWN(1280/(4*B91),0)*4</f>
        <v>1280</v>
      </c>
    </row>
    <row r="90" spans="1:11" hidden="1">
      <c r="A90" s="667"/>
      <c r="B90" s="667">
        <f>ROUNDDOWN(1024/(2*B92),0)*2</f>
        <v>1024</v>
      </c>
    </row>
    <row r="91" spans="1:11" hidden="1">
      <c r="A91" s="667"/>
      <c r="B91" s="667">
        <f>IF(B6=1,B8,B6)</f>
        <v>1</v>
      </c>
      <c r="H91" s="668"/>
      <c r="I91" s="668"/>
      <c r="J91" s="668"/>
      <c r="K91" s="668"/>
    </row>
    <row r="92" spans="1:11" hidden="1">
      <c r="A92" s="667"/>
      <c r="B92" s="667">
        <f>IF(B7=1,B9,B7)</f>
        <v>1</v>
      </c>
      <c r="H92" s="668"/>
      <c r="I92" s="668"/>
      <c r="J92" s="668"/>
      <c r="K92" s="668"/>
    </row>
    <row r="93" spans="1:11" hidden="1">
      <c r="A93" s="667"/>
      <c r="B93" s="667">
        <f>ROUNDDOWN(B4/16,0)*16*B91</f>
        <v>1280</v>
      </c>
      <c r="H93" s="668"/>
      <c r="I93" s="668"/>
      <c r="J93" s="668"/>
      <c r="K93" s="668"/>
    </row>
    <row r="94" spans="1:11" hidden="1">
      <c r="A94" s="667"/>
      <c r="B94" s="667">
        <f>ROUNDDOWN(B5/2,0)*2*B92</f>
        <v>1024</v>
      </c>
      <c r="H94" s="668"/>
      <c r="I94" s="668"/>
      <c r="J94" s="668"/>
      <c r="K94" s="668"/>
    </row>
    <row r="95" spans="1:11" hidden="1">
      <c r="A95" s="667"/>
      <c r="B95" s="667">
        <f>ROUNDDOWN(B4/16,0)*16*B91</f>
        <v>1280</v>
      </c>
      <c r="H95" s="668"/>
      <c r="I95" s="668"/>
      <c r="J95" s="668"/>
      <c r="K95" s="668"/>
    </row>
    <row r="96" spans="1:11" hidden="1">
      <c r="A96" s="667"/>
      <c r="B96" s="667">
        <f>ROUNDDOWN(B5/2,0)*2*B92</f>
        <v>1024</v>
      </c>
      <c r="H96" s="668"/>
      <c r="I96" s="668"/>
      <c r="J96" s="668"/>
      <c r="K96" s="668"/>
    </row>
    <row r="97" spans="1:11" hidden="1">
      <c r="A97" s="667"/>
      <c r="B97" s="667">
        <f>ROUNDDOWN(B95/(16*B91),0)*16</f>
        <v>1280</v>
      </c>
      <c r="H97" s="668"/>
      <c r="I97" s="668"/>
      <c r="J97" s="668"/>
      <c r="K97" s="668"/>
    </row>
    <row r="98" spans="1:11" hidden="1">
      <c r="A98" s="667"/>
      <c r="B98" s="667">
        <f>ROUNDDOWN(B96/(2*B92),0)*2</f>
        <v>1024</v>
      </c>
    </row>
    <row r="99" spans="1:11" ht="19.5" hidden="1" customHeight="1"/>
    <row r="100" spans="1:11" hidden="1">
      <c r="D100" s="669" t="s">
        <v>368</v>
      </c>
      <c r="E100" s="668"/>
      <c r="F100" s="668"/>
      <c r="G100" s="668"/>
    </row>
    <row r="101" spans="1:11" hidden="1">
      <c r="D101" s="669" t="s">
        <v>408</v>
      </c>
      <c r="E101" s="668"/>
      <c r="F101" s="668"/>
      <c r="G101" s="668"/>
    </row>
    <row r="102" spans="1:11" hidden="1">
      <c r="D102" s="669" t="s">
        <v>370</v>
      </c>
      <c r="E102" s="668"/>
      <c r="F102" s="668"/>
      <c r="G102" s="668"/>
    </row>
    <row r="103" spans="1:11" hidden="1">
      <c r="D103" s="669" t="s">
        <v>371</v>
      </c>
      <c r="E103" s="668"/>
      <c r="F103" s="668"/>
      <c r="G103" s="668"/>
    </row>
    <row r="104" spans="1:11" hidden="1">
      <c r="D104" s="668"/>
      <c r="E104" s="668"/>
      <c r="F104" s="668"/>
      <c r="G104" s="668"/>
    </row>
    <row r="105" spans="1:11" hidden="1">
      <c r="D105" s="668"/>
      <c r="E105" s="668"/>
      <c r="F105" s="668"/>
      <c r="G105" s="668"/>
    </row>
    <row r="106" spans="1:11" hidden="1">
      <c r="D106" s="669" t="s">
        <v>278</v>
      </c>
      <c r="E106" s="668"/>
      <c r="F106" s="668"/>
      <c r="G106" s="668"/>
    </row>
    <row r="107" spans="1:11" hidden="1"/>
    <row r="108" spans="1:11" ht="9" customHeight="1"/>
  </sheetData>
  <sheetProtection algorithmName="SHA-512" hashValue="pnNfV/RjuThstlmBsEl47YSKoCWjzAzpYu8TsgAUSaxQQpki7vTkB9hEnmhkaiBSeipaI8LHlrr+j2Wzkoelnw==" saltValue="nAVqcBEHzKVfs7uhZfDB8A==" spinCount="100000" sheet="1" objects="1" scenarios="1" selectLockedCells="1"/>
  <phoneticPr fontId="37" type="noConversion"/>
  <dataValidations count="17">
    <dataValidation allowBlank="1" showInputMessage="1" showErrorMessage="1" error="输入范围是64~1024，步长为2" sqref="A1:B1"/>
    <dataValidation type="custom" allowBlank="1" showInputMessage="1" showErrorMessage="1" error="当前参数范围不在4~图像宽度最大值内 ，请重新输入" sqref="B4">
      <formula1>AND((B4&lt;=B2),(B4&gt;=4),(MOD(B4,4)=0))</formula1>
    </dataValidation>
    <dataValidation type="whole" allowBlank="1" showInputMessage="1" showErrorMessage="1" error="输入范围是5~15000000" sqref="B10">
      <formula1>5</formula1>
      <formula2>15000000</formula2>
    </dataValidation>
    <dataValidation type="custom" allowBlank="1" showInputMessage="1" showErrorMessage="1" error="输入参数值为1或者2，并且当垂直像素Binning不为1时不能输入" sqref="B7">
      <formula1>AND(OR((B7=1),(B7=2)),B9=1)</formula1>
    </dataValidation>
    <dataValidation type="custom" allowBlank="1" showInputMessage="1" showErrorMessage="1" error="当前参数范围不在2~图像高度最大值内，请重新输入" sqref="B5">
      <formula1>AND((B5&lt;=B3),(B5&gt;=2),(MOD(B5,2)=0))</formula1>
    </dataValidation>
    <dataValidation type="custom" allowBlank="1" showInputMessage="1" showErrorMessage="1" error="输入参数值为1或者2，并且当水平像素Binning不为1时不能输入" sqref="B6">
      <formula1>AND(OR((B6=1),(B6=2)),B8=1)</formula1>
    </dataValidation>
    <dataValidation type="custom" allowBlank="1" showInputMessage="1" showErrorMessage="1" error="设置值范围0.1~10000.0，步长为0.1" sqref="B16">
      <formula1>AND(TRUNC(B16,1)=B16,(B16&gt;=0.1),(B16&lt;=10000))</formula1>
    </dataValidation>
    <dataValidation type="custom" allowBlank="1" showInputMessage="1" showErrorMessage="1" error="输入参数值为1或者2，并且当垂直像素抽样不为1时不能输入" sqref="B9">
      <formula1>AND(OR((B9=1),(B9=2)),B7=1)</formula1>
    </dataValidation>
    <dataValidation type="custom" allowBlank="1" showInputMessage="1" showErrorMessage="1" error="输入参数值为1或者2，并且当水平像素抽样不为1时不能输入" sqref="B8">
      <formula1>AND(OR((B8=1),(B8=2)),B6=1)</formula1>
    </dataValidation>
    <dataValidation type="whole" allowBlank="1" showInputMessage="1" showErrorMessage="1" error="输入范围是0~5000" sqref="B11">
      <formula1>0</formula1>
      <formula2>5000</formula2>
    </dataValidation>
    <dataValidation type="custom" allowBlank="1" showInputMessage="1" showErrorMessage="1" error="请输入8或者10" sqref="B12">
      <formula1>OR((B12=8),(B12=10))</formula1>
    </dataValidation>
    <dataValidation type="custom" allowBlank="1" showInputMessage="1" showErrorMessage="1" error="输入范围是512~8192，步长为4" sqref="B13">
      <formula1>AND((B13&lt;=8192),(B13&gt;=512),(MOD(B13,4)=0))</formula1>
    </dataValidation>
    <dataValidation type="whole" allowBlank="1" showInputMessage="1" showErrorMessage="1" error="设置值范围为0~包间隔最大值" sqref="B14">
      <formula1>0</formula1>
      <formula2>B77</formula2>
    </dataValidation>
    <dataValidation type="custom" allowBlank="1" showInputMessage="1" showErrorMessage="1" error="请输入0或者1" sqref="B17 B21:B22">
      <formula1>OR((B17=0),(B17=1))</formula1>
    </dataValidation>
    <dataValidation type="custom" allowBlank="1" showInputMessage="1" showErrorMessage="1" error="请输入1000或者100" sqref="B18">
      <formula1>OR((B18=1000),(B18=100))</formula1>
    </dataValidation>
    <dataValidation type="whole" allowBlank="1" showInputMessage="1" showErrorMessage="1" error="设置值范围为0~预估带宽最大值" sqref="B19">
      <formula1>0</formula1>
      <formula2>B20</formula2>
    </dataValidation>
    <dataValidation type="whole" allowBlank="1" showInputMessage="1" showErrorMessage="1" sqref="B80">
      <formula1>0</formula1>
      <formula2>1</formula2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opLeftCell="B1" workbookViewId="0">
      <selection activeCell="C1" sqref="C1"/>
    </sheetView>
  </sheetViews>
  <sheetFormatPr defaultColWidth="9" defaultRowHeight="13.5"/>
  <cols>
    <col min="1" max="1" width="20.625" hidden="1" customWidth="1"/>
    <col min="2" max="2" width="28.5" customWidth="1"/>
    <col min="3" max="3" width="16.375" customWidth="1"/>
    <col min="9" max="9" width="9" customWidth="1"/>
    <col min="10" max="10" width="174.875" hidden="1" customWidth="1"/>
  </cols>
  <sheetData>
    <row r="1" spans="1:4" ht="15.75" customHeight="1">
      <c r="A1" s="104" t="s">
        <v>197</v>
      </c>
      <c r="B1" s="104"/>
      <c r="C1" s="107"/>
    </row>
    <row r="2" spans="1:4">
      <c r="A2" s="104" t="s">
        <v>198</v>
      </c>
      <c r="B2" s="104" t="s">
        <v>199</v>
      </c>
      <c r="C2" s="104">
        <f>C51</f>
        <v>1440</v>
      </c>
    </row>
    <row r="3" spans="1:4">
      <c r="A3" s="104" t="s">
        <v>200</v>
      </c>
      <c r="B3" s="104" t="s">
        <v>201</v>
      </c>
      <c r="C3" s="104">
        <f>C52</f>
        <v>1080</v>
      </c>
    </row>
    <row r="4" spans="1:4">
      <c r="A4" s="104" t="s">
        <v>202</v>
      </c>
      <c r="B4" s="104" t="s">
        <v>203</v>
      </c>
      <c r="C4" s="107">
        <v>1440</v>
      </c>
      <c r="D4" s="105" t="str">
        <f>IF(OR(C4&gt;C2,C4&lt;8),J68,"")</f>
        <v/>
      </c>
    </row>
    <row r="5" spans="1:4">
      <c r="A5" s="104" t="s">
        <v>204</v>
      </c>
      <c r="B5" s="104" t="s">
        <v>205</v>
      </c>
      <c r="C5" s="107">
        <v>1080</v>
      </c>
      <c r="D5" s="105" t="str">
        <f>IF(OR(C5&gt;C3,C5&lt;2),J69,"")</f>
        <v/>
      </c>
    </row>
    <row r="6" spans="1:4">
      <c r="A6" s="104" t="s">
        <v>206</v>
      </c>
      <c r="B6" s="104" t="s">
        <v>207</v>
      </c>
      <c r="C6" s="107">
        <v>1</v>
      </c>
    </row>
    <row r="7" spans="1:4">
      <c r="A7" s="104" t="s">
        <v>208</v>
      </c>
      <c r="B7" s="104" t="s">
        <v>209</v>
      </c>
      <c r="C7" s="107">
        <v>1</v>
      </c>
    </row>
    <row r="8" spans="1:4">
      <c r="A8" s="104" t="s">
        <v>210</v>
      </c>
      <c r="B8" s="104" t="s">
        <v>211</v>
      </c>
      <c r="C8" s="107">
        <v>1</v>
      </c>
    </row>
    <row r="9" spans="1:4">
      <c r="A9" s="104" t="s">
        <v>212</v>
      </c>
      <c r="B9" s="104" t="s">
        <v>213</v>
      </c>
      <c r="C9" s="107">
        <v>1</v>
      </c>
    </row>
    <row r="10" spans="1:4">
      <c r="A10" s="104" t="s">
        <v>214</v>
      </c>
      <c r="B10" s="104" t="s">
        <v>215</v>
      </c>
      <c r="C10" s="107">
        <v>10000</v>
      </c>
    </row>
    <row r="11" spans="1:4">
      <c r="A11" s="104" t="s">
        <v>216</v>
      </c>
      <c r="B11" s="104" t="s">
        <v>217</v>
      </c>
      <c r="C11" s="107">
        <v>0</v>
      </c>
    </row>
    <row r="12" spans="1:4">
      <c r="A12" s="104" t="s">
        <v>218</v>
      </c>
      <c r="B12" s="104" t="s">
        <v>219</v>
      </c>
      <c r="C12" s="107">
        <v>8</v>
      </c>
    </row>
    <row r="13" spans="1:4">
      <c r="A13" s="104" t="s">
        <v>220</v>
      </c>
      <c r="B13" s="104" t="s">
        <v>221</v>
      </c>
      <c r="C13" s="107">
        <v>1500</v>
      </c>
    </row>
    <row r="14" spans="1:4">
      <c r="A14" s="104" t="s">
        <v>222</v>
      </c>
      <c r="B14" s="104" t="s">
        <v>223</v>
      </c>
      <c r="C14" s="107">
        <v>0</v>
      </c>
    </row>
    <row r="15" spans="1:4">
      <c r="A15" s="104" t="s">
        <v>224</v>
      </c>
      <c r="B15" s="104" t="s">
        <v>225</v>
      </c>
      <c r="C15" s="104">
        <f>C41</f>
        <v>180000</v>
      </c>
    </row>
    <row r="16" spans="1:4">
      <c r="A16" s="104" t="s">
        <v>226</v>
      </c>
      <c r="B16" s="104" t="s">
        <v>227</v>
      </c>
      <c r="C16" s="107">
        <v>75</v>
      </c>
    </row>
    <row r="17" spans="1:3">
      <c r="A17" s="104" t="s">
        <v>228</v>
      </c>
      <c r="B17" s="104" t="s">
        <v>229</v>
      </c>
      <c r="C17" s="107">
        <v>0</v>
      </c>
    </row>
    <row r="18" spans="1:3">
      <c r="A18" s="104" t="s">
        <v>230</v>
      </c>
      <c r="B18" s="104" t="s">
        <v>231</v>
      </c>
      <c r="C18" s="107">
        <v>1000</v>
      </c>
    </row>
    <row r="19" spans="1:3">
      <c r="A19" s="104" t="s">
        <v>232</v>
      </c>
      <c r="B19" s="104" t="s">
        <v>233</v>
      </c>
      <c r="C19" s="107">
        <v>5</v>
      </c>
    </row>
    <row r="20" spans="1:3">
      <c r="A20" s="104" t="s">
        <v>234</v>
      </c>
      <c r="B20" s="104" t="s">
        <v>235</v>
      </c>
      <c r="C20" s="104">
        <f>C45</f>
        <v>99</v>
      </c>
    </row>
    <row r="21" spans="1:3" ht="14.25" customHeight="1">
      <c r="A21" s="104"/>
      <c r="B21" s="104"/>
      <c r="C21" s="104"/>
    </row>
    <row r="22" spans="1:3" hidden="1">
      <c r="A22" s="117"/>
      <c r="B22" s="104"/>
      <c r="C22" s="104"/>
    </row>
    <row r="23" spans="1:3" hidden="1">
      <c r="A23" s="117" t="s">
        <v>236</v>
      </c>
      <c r="B23" s="104"/>
      <c r="C23" s="110">
        <f>C16*10</f>
        <v>750</v>
      </c>
    </row>
    <row r="24" spans="1:3" hidden="1">
      <c r="A24" s="117" t="s">
        <v>237</v>
      </c>
      <c r="B24" s="110"/>
      <c r="C24" s="110">
        <f>(C5+42)</f>
        <v>1122</v>
      </c>
    </row>
    <row r="25" spans="1:3" hidden="1">
      <c r="A25" s="117" t="s">
        <v>238</v>
      </c>
      <c r="B25" s="110"/>
      <c r="C25" s="110">
        <f>MAX(ROUNDUP((C10*1000-14260)/C47,0),1)</f>
        <v>1209</v>
      </c>
    </row>
    <row r="26" spans="1:3" hidden="1">
      <c r="A26" s="117" t="s">
        <v>239</v>
      </c>
      <c r="B26" s="110"/>
      <c r="C26" s="110">
        <f>ROUNDUP(C11*1000/C42,0)</f>
        <v>0</v>
      </c>
    </row>
    <row r="27" spans="1:3" hidden="1">
      <c r="A27" s="117" t="s">
        <v>240</v>
      </c>
      <c r="B27" s="110"/>
      <c r="C27" s="110">
        <f>C25+C26+18</f>
        <v>1227</v>
      </c>
    </row>
    <row r="28" spans="1:3" hidden="1">
      <c r="A28" s="117" t="s">
        <v>241</v>
      </c>
      <c r="B28" s="110"/>
      <c r="C28" s="110">
        <v>0</v>
      </c>
    </row>
    <row r="29" spans="1:3" hidden="1">
      <c r="A29" s="117" t="s">
        <v>242</v>
      </c>
      <c r="B29" s="110"/>
      <c r="C29" s="134">
        <f>C3*C4*IF(C12=8,1,2)+C28*32</f>
        <v>1555200</v>
      </c>
    </row>
    <row r="30" spans="1:3" hidden="1">
      <c r="A30" s="117" t="s">
        <v>243</v>
      </c>
      <c r="B30" s="110"/>
      <c r="C30" s="110">
        <f>ROUNDDOWN((C4*C5*ROUNDUP(C12/8,0)+C28*32)/(C13-36),0)</f>
        <v>1062</v>
      </c>
    </row>
    <row r="31" spans="1:3" hidden="1">
      <c r="A31" s="117" t="s">
        <v>244</v>
      </c>
      <c r="B31" s="110"/>
      <c r="C31" s="110">
        <f>C4*C5*ROUNDUP(C12/8,0)+C28*32-(C13-36)*C30</f>
        <v>432</v>
      </c>
    </row>
    <row r="32" spans="1:3" hidden="1">
      <c r="A32" s="636" t="s">
        <v>245</v>
      </c>
      <c r="B32" s="110"/>
      <c r="C32" s="635">
        <f>IF(C31=0,0,1)</f>
        <v>1</v>
      </c>
    </row>
    <row r="33" spans="1:3" ht="40.5" hidden="1">
      <c r="A33" s="636" t="s">
        <v>246</v>
      </c>
      <c r="B33" s="110"/>
      <c r="C33" s="635">
        <f>(C13+26)*C30+C32*(C31+62)</f>
        <v>1621106</v>
      </c>
    </row>
    <row r="34" spans="1:3" hidden="1">
      <c r="A34" s="636" t="s">
        <v>247</v>
      </c>
      <c r="B34" s="110"/>
      <c r="C34" s="635">
        <f>(C14+12)*(C30+C32+2)</f>
        <v>12780</v>
      </c>
    </row>
    <row r="35" spans="1:3" hidden="1">
      <c r="A35" s="636" t="s">
        <v>248</v>
      </c>
      <c r="B35" s="110"/>
      <c r="C35" s="635">
        <f>C33+C34+98+72</f>
        <v>1634056</v>
      </c>
    </row>
    <row r="36" spans="1:3" hidden="1">
      <c r="A36" s="110" t="s">
        <v>249</v>
      </c>
      <c r="B36" s="110"/>
      <c r="C36" s="635">
        <f>ROUNDUP(ROUNDUP(C35*1000000000/C40,0)*10/C47,0)</f>
        <v>1666</v>
      </c>
    </row>
    <row r="37" spans="1:3" hidden="1">
      <c r="A37" s="110" t="s">
        <v>250</v>
      </c>
      <c r="B37" s="110"/>
      <c r="C37" s="110">
        <f>ROUNDUP(10000000000/C23/C47,0)</f>
        <v>1615</v>
      </c>
    </row>
    <row r="38" spans="1:3" hidden="1">
      <c r="A38" s="110" t="s">
        <v>251</v>
      </c>
      <c r="B38" s="110"/>
      <c r="C38" s="110">
        <f>MAX(C24,C27,C36,C37*C17)</f>
        <v>1666</v>
      </c>
    </row>
    <row r="39" spans="1:3" hidden="1">
      <c r="A39" s="110" t="s">
        <v>252</v>
      </c>
      <c r="B39" s="110"/>
      <c r="C39" s="110">
        <f>1000000/C49</f>
        <v>72.658577345055591</v>
      </c>
    </row>
    <row r="40" spans="1:3" hidden="1">
      <c r="A40" s="110" t="s">
        <v>253</v>
      </c>
      <c r="B40" s="110"/>
      <c r="C40" s="110">
        <f>12500*C18*(100-C19)</f>
        <v>1187500000</v>
      </c>
    </row>
    <row r="41" spans="1:3" hidden="1">
      <c r="A41" s="110" t="s">
        <v>254</v>
      </c>
      <c r="B41" s="110"/>
      <c r="C41" s="110">
        <f>IF((ROUNDDOWN((C40-(62+C13-36)*C30-62-C31-168+C28*24)/(C30+3),0)-12)&gt;C42,C42,ROUNDDOWN((C40-(62+C13-36)*C30-62-C31-168+C28*24)/(C30+3),0)-12)</f>
        <v>180000</v>
      </c>
    </row>
    <row r="42" spans="1:3" hidden="1">
      <c r="A42" s="110" t="s">
        <v>255</v>
      </c>
      <c r="B42" s="110"/>
      <c r="C42" s="110">
        <f>IF(C18=1000,180000,18000)</f>
        <v>180000</v>
      </c>
    </row>
    <row r="43" spans="1:3" hidden="1">
      <c r="A43" s="110" t="s">
        <v>256</v>
      </c>
      <c r="B43" s="110"/>
      <c r="C43" s="110">
        <f>((62+(C13-36))*C30+62+C31+168)+(C14+12)*(C30+3)</f>
        <v>1634054</v>
      </c>
    </row>
    <row r="44" spans="1:3" hidden="1">
      <c r="A44" s="110" t="s">
        <v>253</v>
      </c>
      <c r="B44" s="110"/>
      <c r="C44" s="110">
        <f>125000*C18</f>
        <v>125000000</v>
      </c>
    </row>
    <row r="45" spans="1:3" hidden="1">
      <c r="A45" s="110" t="s">
        <v>257</v>
      </c>
      <c r="B45" s="110"/>
      <c r="C45" s="110">
        <f>IF((100-ROUNDDOWN(C43*10/(1250000*C18/10),0)-1)&lt;0,0,(100-ROUNDDOWN(C43*10/(1250000*C18/10),0)-1))</f>
        <v>99</v>
      </c>
    </row>
    <row r="46" spans="1:3" hidden="1">
      <c r="A46" s="110" t="s">
        <v>258</v>
      </c>
      <c r="B46" s="110"/>
      <c r="C46" s="110">
        <f>ROUNDDOWN((C40-(62+C13-36)*C30-62-C31-168+C28*24)/(C30+3),0)-12</f>
        <v>1113489</v>
      </c>
    </row>
    <row r="47" spans="1:3" hidden="1">
      <c r="A47" s="110" t="s">
        <v>259</v>
      </c>
      <c r="B47" s="110"/>
      <c r="C47" s="110">
        <f>IF(C12=8,8261,16522)</f>
        <v>8261</v>
      </c>
    </row>
    <row r="48" spans="1:3" hidden="1">
      <c r="A48" s="110" t="s">
        <v>260</v>
      </c>
      <c r="B48" s="110"/>
      <c r="C48" s="110">
        <f>448*ROUNDUP(C12/8,0)</f>
        <v>448</v>
      </c>
    </row>
    <row r="49" spans="1:4" s="100" customFormat="1" ht="15" hidden="1" customHeight="1">
      <c r="A49" s="644" t="s">
        <v>261</v>
      </c>
      <c r="B49" s="644"/>
      <c r="C49" s="644">
        <f>ROUNDUP(C47*C38/1000,0)</f>
        <v>13763</v>
      </c>
    </row>
    <row r="50" spans="1:4" s="100" customFormat="1" ht="15" hidden="1" customHeight="1">
      <c r="A50" s="109"/>
      <c r="B50" s="109"/>
      <c r="C50" s="109"/>
    </row>
    <row r="51" spans="1:4" hidden="1">
      <c r="A51" s="110" t="s">
        <v>262</v>
      </c>
      <c r="B51" s="110"/>
      <c r="C51" s="110">
        <f>ROUNDDOWN(1440/(4*C53),0)*4</f>
        <v>1440</v>
      </c>
    </row>
    <row r="52" spans="1:4" hidden="1">
      <c r="A52" s="110" t="s">
        <v>263</v>
      </c>
      <c r="B52" s="110"/>
      <c r="C52" s="110">
        <f>ROUNDDOWN(1080/(2*C54),0)*2</f>
        <v>1080</v>
      </c>
    </row>
    <row r="53" spans="1:4" hidden="1">
      <c r="A53" s="110" t="s">
        <v>264</v>
      </c>
      <c r="B53" s="110"/>
      <c r="C53" s="110">
        <f>IF(C6=1,C8,C6)</f>
        <v>1</v>
      </c>
    </row>
    <row r="54" spans="1:4" hidden="1">
      <c r="A54" s="110" t="s">
        <v>265</v>
      </c>
      <c r="B54" s="110"/>
      <c r="C54" s="110">
        <f>IF(C7=1,C9,C7)</f>
        <v>1</v>
      </c>
    </row>
    <row r="55" spans="1:4" hidden="1">
      <c r="A55" s="110" t="s">
        <v>266</v>
      </c>
      <c r="B55" s="110"/>
      <c r="C55" s="110">
        <f>ROUNDDOWN(C59/4,0)*4*C53</f>
        <v>1440</v>
      </c>
    </row>
    <row r="56" spans="1:4" hidden="1">
      <c r="A56" s="110" t="s">
        <v>267</v>
      </c>
      <c r="B56" s="110"/>
      <c r="C56" s="110">
        <f>ROUNDDOWN(C60/2,0)*2*C54</f>
        <v>1080</v>
      </c>
    </row>
    <row r="57" spans="1:4" hidden="1">
      <c r="A57" s="110" t="s">
        <v>268</v>
      </c>
      <c r="B57" s="110"/>
      <c r="C57" s="110">
        <f>ROUNDDOWN(C4/4,0)*4*C53</f>
        <v>1440</v>
      </c>
    </row>
    <row r="58" spans="1:4" hidden="1">
      <c r="A58" s="110" t="s">
        <v>269</v>
      </c>
      <c r="B58" s="110"/>
      <c r="C58" s="110">
        <f>ROUNDDOWN(C5/2,0)*2*C54</f>
        <v>1080</v>
      </c>
    </row>
    <row r="59" spans="1:4" hidden="1">
      <c r="A59" s="110" t="s">
        <v>270</v>
      </c>
      <c r="B59" s="110"/>
      <c r="C59" s="110">
        <f>ROUNDDOWN(C57/(4*C53),0)*4</f>
        <v>1440</v>
      </c>
    </row>
    <row r="60" spans="1:4" hidden="1">
      <c r="A60" s="110" t="s">
        <v>271</v>
      </c>
      <c r="B60" s="110"/>
      <c r="C60" s="110">
        <f>ROUNDDOWN(C58/(2*C54),0)*2</f>
        <v>1080</v>
      </c>
    </row>
    <row r="61" spans="1:4" hidden="1">
      <c r="A61" s="110"/>
      <c r="B61" s="110"/>
      <c r="C61" s="110"/>
    </row>
    <row r="62" spans="1:4" ht="14.25">
      <c r="A62" s="118" t="s">
        <v>272</v>
      </c>
      <c r="B62" s="118"/>
      <c r="C62" s="118"/>
    </row>
    <row r="63" spans="1:4" ht="14.25">
      <c r="A63" s="118" t="s">
        <v>252</v>
      </c>
      <c r="B63" s="118" t="s">
        <v>273</v>
      </c>
      <c r="C63" s="118">
        <f>ROUND(C39,2)</f>
        <v>72.66</v>
      </c>
      <c r="D63" s="105" t="str">
        <f>IF(J74=1,J70,"")</f>
        <v/>
      </c>
    </row>
    <row r="67" spans="1:10" ht="27">
      <c r="J67" s="119" t="s">
        <v>274</v>
      </c>
    </row>
    <row r="68" spans="1:10">
      <c r="J68" s="259" t="s">
        <v>409</v>
      </c>
    </row>
    <row r="69" spans="1:10">
      <c r="J69" s="259" t="s">
        <v>276</v>
      </c>
    </row>
    <row r="70" spans="1:10">
      <c r="J70" t="s">
        <v>277</v>
      </c>
    </row>
    <row r="73" spans="1:10">
      <c r="J73" s="259" t="s">
        <v>278</v>
      </c>
    </row>
    <row r="74" spans="1:10">
      <c r="A74" t="str">
        <f>IF(J101=1,J97,"")</f>
        <v/>
      </c>
      <c r="J74">
        <f>IF(OR(OR(C4&gt;C2,C4&lt;8),OR(C5&gt;C3,C5&lt;2)),1,0)</f>
        <v>0</v>
      </c>
    </row>
  </sheetData>
  <sheetProtection algorithmName="SHA-512" hashValue="VuesewNj1lZ7ebqDm3t1H20yLAb26fibKotq/zsPT5ALjBqV307+m98Hps+BKprMEjOtwMJ1iZJJcpXJ2nD0TQ==" saltValue="xbBTEahcsAbRTDiSiz827w==" spinCount="100000" sheet="1" objects="1" scenarios="1" selectLockedCells="1"/>
  <phoneticPr fontId="37" type="noConversion"/>
  <dataValidations count="19"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="Input range:[2,'HeightMax'],and is an integer multiple of 2" sqref="C5">
      <formula1>AND((C5&lt;=C3),(C5&gt;=2),(MOD(C5,2)=0))</formula1>
    </dataValidation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whole" allowBlank="1" showInputMessage="1" showErrorMessage="1" error="The input range :[20,15000000]" sqref="C10">
      <formula1>20</formula1>
      <formula2>15000000</formula2>
    </dataValidation>
    <dataValidation type="custom" allowBlank="1" showInputMessage="1" showErrorMessage="1" error="Input 1 or 2, and can not be entered when the 'BinningHorizontal' is not 1" sqref="C8">
      <formula1>AND(OR((C8=1),(C8=2)),C6=1)</formula1>
    </dataValidation>
    <dataValidation type="custom" allowBlank="1" showInputMessage="1" showErrorMessage="1" error="Input 1 or 2 , and can not be entered when the 'DecimationHorizontal' is not 1" sqref="C6">
      <formula1>AND(OR((C6=1),(C6=2)),C8=1)</formula1>
    </dataValidation>
    <dataValidation type="custom" allowBlank="1" showInputMessage="1" showErrorMessage="1" error="Input 1 or 2, and can not be entered when the 'DecimationVertical' is not 1" sqref="C7">
      <formula1>AND(OR((C7=1),(C7=2)),C9=1)</formula1>
    </dataValidation>
    <dataValidation type="custom" allowBlank="1" showInputMessage="1" showErrorMessage="1" error="Input 1 or 2, and can not be entered when the 'BinningVertical' is not 1" sqref="C9">
      <formula1>AND(OR((C9=1),(C9=2)),C7=1)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Please enter 8 or 12" sqref="C12">
      <formula1>OR((C12=8),(C12=12))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ErrorMessage="1" error="Set the value to exceed the maximum" prompt="应在包间隔范围内" sqref="C15">
      <formula1>0</formula1>
      <formula2>C41</formula2>
    </dataValidation>
    <dataValidation type="custom" allowBlank="1" showErrorMessage="1" error="Set the value range :[ 0.1,10000.0], accurate to one decimal" prompt="应在包间隔范围内" sqref="C16">
      <formula1>AND(TRUNC(C16,1)=C16,(C16&gt;=0.1),(C16&lt;=10000))</formula1>
    </dataValidation>
    <dataValidation type="custom" allowBlank="1" showErrorMessage="1" error="Please enter a 0 or 1" prompt="应在包间隔范围内" sqref="C17">
      <formula1>OR((C17=0),(C17=1))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whole" allowBlank="1" showErrorMessage="1" error="The setting value exceeds the reserved bandwidth range" prompt="设置值应在预留带宽范围内" sqref="C20">
      <formula1>0</formula1>
      <formula2>C45</formula2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opLeftCell="B1" workbookViewId="0">
      <selection activeCell="C4" sqref="C4"/>
    </sheetView>
  </sheetViews>
  <sheetFormatPr defaultColWidth="9" defaultRowHeight="13.5"/>
  <cols>
    <col min="1" max="1" width="35.875" hidden="1" customWidth="1"/>
    <col min="2" max="2" width="30" customWidth="1"/>
    <col min="3" max="3" width="11.625" customWidth="1"/>
  </cols>
  <sheetData>
    <row r="1" spans="1:6">
      <c r="A1" s="104" t="s">
        <v>197</v>
      </c>
      <c r="B1" s="104"/>
      <c r="C1" s="107"/>
    </row>
    <row r="2" spans="1:6">
      <c r="A2" s="104" t="s">
        <v>198</v>
      </c>
      <c r="B2" s="104" t="s">
        <v>199</v>
      </c>
      <c r="C2" s="104">
        <f>ROUNDDOWN(1600/(8*C56)*8,0)</f>
        <v>1600</v>
      </c>
    </row>
    <row r="3" spans="1:6">
      <c r="A3" s="104" t="s">
        <v>200</v>
      </c>
      <c r="B3" s="104" t="s">
        <v>201</v>
      </c>
      <c r="C3" s="104">
        <f>ROUNDDOWN(1200/(2*C57)*2,0)</f>
        <v>1200</v>
      </c>
    </row>
    <row r="4" spans="1:6">
      <c r="A4" s="104" t="s">
        <v>202</v>
      </c>
      <c r="B4" s="104" t="s">
        <v>203</v>
      </c>
      <c r="C4" s="107">
        <v>1600</v>
      </c>
    </row>
    <row r="5" spans="1:6">
      <c r="A5" s="104" t="s">
        <v>204</v>
      </c>
      <c r="B5" s="104" t="s">
        <v>205</v>
      </c>
      <c r="C5" s="107">
        <v>1200</v>
      </c>
    </row>
    <row r="6" spans="1:6">
      <c r="A6" s="104" t="s">
        <v>206</v>
      </c>
      <c r="B6" s="104" t="s">
        <v>207</v>
      </c>
      <c r="C6" s="107">
        <v>1</v>
      </c>
    </row>
    <row r="7" spans="1:6">
      <c r="A7" s="104" t="s">
        <v>208</v>
      </c>
      <c r="B7" s="104" t="s">
        <v>209</v>
      </c>
      <c r="C7" s="107">
        <v>1</v>
      </c>
    </row>
    <row r="8" spans="1:6">
      <c r="A8" s="104" t="s">
        <v>210</v>
      </c>
      <c r="B8" s="104" t="s">
        <v>211</v>
      </c>
      <c r="C8" s="107">
        <v>1</v>
      </c>
    </row>
    <row r="9" spans="1:6">
      <c r="A9" s="104" t="s">
        <v>212</v>
      </c>
      <c r="B9" s="104" t="s">
        <v>213</v>
      </c>
      <c r="C9" s="107">
        <v>1</v>
      </c>
    </row>
    <row r="10" spans="1:6">
      <c r="A10" s="104" t="s">
        <v>214</v>
      </c>
      <c r="B10" s="104" t="s">
        <v>215</v>
      </c>
      <c r="C10" s="107">
        <v>10000</v>
      </c>
    </row>
    <row r="11" spans="1:6" hidden="1">
      <c r="A11" s="104" t="s">
        <v>216</v>
      </c>
      <c r="B11" s="104" t="s">
        <v>217</v>
      </c>
      <c r="C11" s="107">
        <v>0</v>
      </c>
    </row>
    <row r="12" spans="1:6">
      <c r="A12" s="104" t="s">
        <v>218</v>
      </c>
      <c r="B12" s="104" t="s">
        <v>279</v>
      </c>
      <c r="C12" s="107">
        <v>8</v>
      </c>
    </row>
    <row r="13" spans="1:6">
      <c r="A13" s="104" t="s">
        <v>220</v>
      </c>
      <c r="B13" s="104" t="s">
        <v>221</v>
      </c>
      <c r="C13" s="107">
        <v>1500</v>
      </c>
    </row>
    <row r="14" spans="1:6">
      <c r="A14" s="104" t="s">
        <v>222</v>
      </c>
      <c r="B14" s="104" t="s">
        <v>223</v>
      </c>
      <c r="C14" s="107">
        <v>0</v>
      </c>
      <c r="F14" s="643"/>
    </row>
    <row r="15" spans="1:6">
      <c r="A15" s="104" t="s">
        <v>224</v>
      </c>
      <c r="B15" s="104" t="s">
        <v>225</v>
      </c>
      <c r="C15" s="104">
        <f>C45</f>
        <v>69811</v>
      </c>
    </row>
    <row r="16" spans="1:6">
      <c r="A16" s="104" t="s">
        <v>226</v>
      </c>
      <c r="B16" s="104" t="s">
        <v>227</v>
      </c>
      <c r="C16" s="107">
        <v>55.8</v>
      </c>
    </row>
    <row r="17" spans="1:5">
      <c r="A17" s="104" t="s">
        <v>228</v>
      </c>
      <c r="B17" s="104" t="s">
        <v>229</v>
      </c>
      <c r="C17" s="107">
        <v>0</v>
      </c>
    </row>
    <row r="18" spans="1:5">
      <c r="A18" s="104" t="s">
        <v>230</v>
      </c>
      <c r="B18" s="104" t="s">
        <v>231</v>
      </c>
      <c r="C18" s="107">
        <v>1000</v>
      </c>
    </row>
    <row r="19" spans="1:5">
      <c r="A19" s="104" t="s">
        <v>232</v>
      </c>
      <c r="B19" s="104" t="s">
        <v>233</v>
      </c>
      <c r="C19" s="107">
        <v>10</v>
      </c>
      <c r="D19" s="643"/>
      <c r="E19" s="643"/>
    </row>
    <row r="20" spans="1:5">
      <c r="A20" s="104" t="s">
        <v>234</v>
      </c>
      <c r="B20" s="104" t="s">
        <v>235</v>
      </c>
      <c r="C20" s="104">
        <f>C50</f>
        <v>98</v>
      </c>
    </row>
    <row r="21" spans="1:5">
      <c r="A21" s="104" t="s">
        <v>280</v>
      </c>
      <c r="B21" s="104" t="s">
        <v>281</v>
      </c>
      <c r="C21" s="107">
        <v>0</v>
      </c>
    </row>
    <row r="22" spans="1:5" ht="12.75" customHeight="1">
      <c r="A22" s="117"/>
      <c r="B22" s="104"/>
      <c r="C22" s="104"/>
    </row>
    <row r="23" spans="1:5" hidden="1">
      <c r="A23" s="636" t="s">
        <v>259</v>
      </c>
      <c r="B23" s="104"/>
      <c r="C23" s="110">
        <v>13734</v>
      </c>
    </row>
    <row r="24" spans="1:5" hidden="1">
      <c r="A24" s="117" t="s">
        <v>236</v>
      </c>
      <c r="B24" s="104"/>
      <c r="C24" s="110">
        <f>C16*10</f>
        <v>558</v>
      </c>
    </row>
    <row r="25" spans="1:5" hidden="1">
      <c r="A25" s="117" t="s">
        <v>237</v>
      </c>
      <c r="B25" s="110"/>
      <c r="C25" s="110">
        <f>IF(C21=1,C26+C59+20+20+2,C59+20)</f>
        <v>1220</v>
      </c>
    </row>
    <row r="26" spans="1:5" hidden="1">
      <c r="A26" s="636" t="s">
        <v>238</v>
      </c>
      <c r="B26" s="110"/>
      <c r="C26" s="110">
        <f>MAX(ROUNDUP(C10*1000/C23,0),1)</f>
        <v>729</v>
      </c>
    </row>
    <row r="27" spans="1:5" hidden="1">
      <c r="A27" s="117" t="s">
        <v>239</v>
      </c>
      <c r="B27" s="110"/>
      <c r="C27" s="110">
        <f>ROUNDDOWN(C11*375/(10*746),0)</f>
        <v>0</v>
      </c>
    </row>
    <row r="28" spans="1:5" hidden="1">
      <c r="A28" s="117" t="s">
        <v>240</v>
      </c>
      <c r="B28" s="110"/>
      <c r="C28" s="110">
        <f>C26+C27+2</f>
        <v>731</v>
      </c>
    </row>
    <row r="29" spans="1:5" hidden="1">
      <c r="A29" s="636" t="s">
        <v>410</v>
      </c>
      <c r="B29" s="110"/>
      <c r="C29" s="110">
        <v>1250</v>
      </c>
    </row>
    <row r="30" spans="1:5" hidden="1">
      <c r="A30" s="117" t="s">
        <v>241</v>
      </c>
      <c r="B30" s="110"/>
      <c r="C30" s="110">
        <v>0</v>
      </c>
    </row>
    <row r="31" spans="1:5" hidden="1">
      <c r="A31" s="117" t="s">
        <v>243</v>
      </c>
      <c r="B31" s="110"/>
      <c r="C31" s="110">
        <f>ROUNDDOWN((C4*C5*ROUNDUP(C12/8,0)+C30*36)/(C13-36),0)</f>
        <v>1311</v>
      </c>
    </row>
    <row r="32" spans="1:5" hidden="1">
      <c r="A32" s="117" t="s">
        <v>244</v>
      </c>
      <c r="B32" s="110"/>
      <c r="C32" s="110">
        <f>C4*C5*ROUNDUP(C12/8,0)+C30*32-(C13-36)*C31</f>
        <v>696</v>
      </c>
    </row>
    <row r="33" spans="1:3" hidden="1">
      <c r="A33" s="636" t="s">
        <v>245</v>
      </c>
      <c r="B33" s="110"/>
      <c r="C33" s="110">
        <f>IF(C32=0,0,1)</f>
        <v>1</v>
      </c>
    </row>
    <row r="34" spans="1:3" ht="27" hidden="1">
      <c r="A34" s="636" t="s">
        <v>246</v>
      </c>
      <c r="B34" s="110"/>
      <c r="C34" s="110">
        <f>(C13+26)*C31+C33*(C32+62)</f>
        <v>2001344</v>
      </c>
    </row>
    <row r="35" spans="1:3" hidden="1">
      <c r="A35" s="636" t="s">
        <v>247</v>
      </c>
      <c r="B35" s="110"/>
      <c r="C35" s="110">
        <f>(C14+12)*(C33+C31+2)</f>
        <v>15768</v>
      </c>
    </row>
    <row r="36" spans="1:3" hidden="1">
      <c r="A36" s="636" t="s">
        <v>248</v>
      </c>
      <c r="B36" s="110"/>
      <c r="C36" s="110">
        <f>C35+C34+98+72</f>
        <v>2017282</v>
      </c>
    </row>
    <row r="37" spans="1:3" hidden="1">
      <c r="A37" s="110" t="s">
        <v>249</v>
      </c>
      <c r="B37" s="110"/>
      <c r="C37" s="110">
        <f>ROUNDUP(ROUNDUP(C36*1000/C49*10,0)/C23,0)</f>
        <v>1306</v>
      </c>
    </row>
    <row r="38" spans="1:3" hidden="1">
      <c r="A38" s="133" t="s">
        <v>411</v>
      </c>
      <c r="B38" s="110"/>
      <c r="C38" s="110">
        <f>ROUNDUP(C47/ROUNDDOWN(C18*(100-C19)/80,0)*100/(136),0)</f>
        <v>1319</v>
      </c>
    </row>
    <row r="39" spans="1:3" hidden="1">
      <c r="A39" s="133" t="s">
        <v>412</v>
      </c>
      <c r="B39" s="110"/>
      <c r="C39" s="110">
        <f>0</f>
        <v>0</v>
      </c>
    </row>
    <row r="40" spans="1:3" hidden="1">
      <c r="A40" s="110" t="s">
        <v>250</v>
      </c>
      <c r="B40" s="110"/>
      <c r="C40" s="110">
        <f>ROUNDUP(((1000000000/C16)/C23)*C17,0)</f>
        <v>0</v>
      </c>
    </row>
    <row r="41" spans="1:3" hidden="1">
      <c r="A41" s="110" t="s">
        <v>413</v>
      </c>
      <c r="B41" s="110"/>
      <c r="C41" s="110"/>
    </row>
    <row r="42" spans="1:3" hidden="1">
      <c r="A42" s="110" t="s">
        <v>251</v>
      </c>
      <c r="B42" s="110"/>
      <c r="C42" s="110">
        <f>IF(C21=0,MAX(C25,C28,C37,C40),MAX(C25,C28,C40))</f>
        <v>1306</v>
      </c>
    </row>
    <row r="43" spans="1:3" hidden="1">
      <c r="A43" s="637" t="s">
        <v>414</v>
      </c>
      <c r="B43" s="110"/>
      <c r="C43" s="110">
        <f>ROUND(1000000000/ROUNDDOWN(C42*C23,0),2)</f>
        <v>55.75</v>
      </c>
    </row>
    <row r="44" spans="1:3" hidden="1">
      <c r="A44" s="110" t="s">
        <v>253</v>
      </c>
      <c r="B44" s="110"/>
      <c r="C44" s="110">
        <f>INT((12500*C18*10)/120)*(100-C19)</f>
        <v>93749940</v>
      </c>
    </row>
    <row r="45" spans="1:3" hidden="1">
      <c r="A45" s="110" t="s">
        <v>254</v>
      </c>
      <c r="B45" s="110"/>
      <c r="C45" s="110">
        <f>IF((ROUNDDOWN((C44-(62+C13-36)*C31-62-C32-168+C30*24)/(C31+3),0)-12)&gt;C46,C46,ROUNDDOWN((C44-(62+C13-36)*C31-62-C32-168+C30*24)/(C31+3),0)-12)</f>
        <v>69811</v>
      </c>
    </row>
    <row r="46" spans="1:3" hidden="1">
      <c r="A46" s="110" t="s">
        <v>255</v>
      </c>
      <c r="B46" s="110"/>
      <c r="C46" s="110">
        <f>IF(C18=1000,180000,18000)</f>
        <v>180000</v>
      </c>
    </row>
    <row r="47" spans="1:3" hidden="1">
      <c r="A47" s="110" t="s">
        <v>256</v>
      </c>
      <c r="B47" s="110"/>
      <c r="C47" s="110">
        <f>((62+(C13-36))*C31+62+C32+170)+(C14+12)*(C31+3)</f>
        <v>2017282</v>
      </c>
    </row>
    <row r="48" spans="1:3" hidden="1">
      <c r="A48" s="110" t="s">
        <v>253</v>
      </c>
      <c r="B48" s="110"/>
      <c r="C48" s="110">
        <f>125000*C18</f>
        <v>125000000</v>
      </c>
    </row>
    <row r="49" spans="1:3" hidden="1">
      <c r="A49" s="637" t="s">
        <v>360</v>
      </c>
      <c r="B49" s="110"/>
      <c r="C49" s="110">
        <f>INT(C18*(100-C19)/80)</f>
        <v>1125</v>
      </c>
    </row>
    <row r="50" spans="1:3" hidden="1">
      <c r="A50" s="110" t="s">
        <v>257</v>
      </c>
      <c r="B50" s="110"/>
      <c r="C50" s="110">
        <f>IF((100-ROUNDDOWN(C47*10/(1250000*C18/120),0)-1)&lt;0,0,(100-ROUNDDOWN(C47*10/(1250000*C18/120),0)-1))</f>
        <v>98</v>
      </c>
    </row>
    <row r="51" spans="1:3" hidden="1">
      <c r="A51" s="110" t="s">
        <v>258</v>
      </c>
      <c r="B51" s="110"/>
      <c r="C51" s="110">
        <f>ROUNDDOWN((C44-(62+C13-36)*C31-62-C32-168+C30*24)/(C31+3),0)-12</f>
        <v>69811</v>
      </c>
    </row>
    <row r="52" spans="1:3" hidden="1">
      <c r="A52" s="110" t="s">
        <v>415</v>
      </c>
      <c r="B52" s="110"/>
      <c r="C52" s="110">
        <f>INT(1000000000/INT((C42*816*10/600)))</f>
        <v>56303</v>
      </c>
    </row>
    <row r="53" spans="1:3" hidden="1">
      <c r="A53" s="110" t="s">
        <v>416</v>
      </c>
      <c r="B53" s="110"/>
      <c r="C53" s="110">
        <f>INT(C4*C52/10*IF(C12=8,1,2)/10*C5/10)</f>
        <v>108101760</v>
      </c>
    </row>
    <row r="54" spans="1:3" hidden="1">
      <c r="A54" s="110" t="s">
        <v>366</v>
      </c>
      <c r="B54" s="110"/>
      <c r="C54" s="110">
        <f>INT(C53*10/(100-C19)*10)</f>
        <v>120113066</v>
      </c>
    </row>
    <row r="55" spans="1:3" hidden="1">
      <c r="A55" s="110"/>
      <c r="B55" s="110"/>
      <c r="C55" s="110"/>
    </row>
    <row r="56" spans="1:3" hidden="1">
      <c r="A56" s="110" t="s">
        <v>264</v>
      </c>
      <c r="B56" s="110"/>
      <c r="C56" s="110">
        <f>IF(C6=2,2,(IF(C8=2,2,1)))</f>
        <v>1</v>
      </c>
    </row>
    <row r="57" spans="1:3" hidden="1">
      <c r="A57" s="110" t="s">
        <v>265</v>
      </c>
      <c r="B57" s="110"/>
      <c r="C57" s="110">
        <f>IF(C7=2,2,(IF(C9=2,2,1)))</f>
        <v>1</v>
      </c>
    </row>
    <row r="58" spans="1:3" hidden="1">
      <c r="A58" s="110" t="s">
        <v>266</v>
      </c>
      <c r="B58" s="110"/>
      <c r="C58" s="110">
        <f>ROUNDDOWN(C62/4,0)*4*C56</f>
        <v>1600</v>
      </c>
    </row>
    <row r="59" spans="1:3" hidden="1">
      <c r="A59" s="110" t="s">
        <v>267</v>
      </c>
      <c r="B59" s="110"/>
      <c r="C59" s="110">
        <f>ROUNDDOWN(C63/2,0)*2*C57</f>
        <v>1200</v>
      </c>
    </row>
    <row r="60" spans="1:3" hidden="1">
      <c r="A60" s="110" t="s">
        <v>268</v>
      </c>
      <c r="B60" s="110"/>
      <c r="C60" s="110">
        <f>ROUNDDOWN(C4/4,0)*4*C56</f>
        <v>1600</v>
      </c>
    </row>
    <row r="61" spans="1:3" hidden="1">
      <c r="A61" s="110" t="s">
        <v>269</v>
      </c>
      <c r="B61" s="110"/>
      <c r="C61" s="110">
        <f>ROUNDDOWN(C5/2,0)*2*C57</f>
        <v>1200</v>
      </c>
    </row>
    <row r="62" spans="1:3" hidden="1">
      <c r="A62" s="110" t="s">
        <v>270</v>
      </c>
      <c r="B62" s="110"/>
      <c r="C62" s="110">
        <f>ROUNDDOWN(C60/(4*C56),0)*4</f>
        <v>1600</v>
      </c>
    </row>
    <row r="63" spans="1:3" hidden="1">
      <c r="A63" s="110" t="s">
        <v>271</v>
      </c>
      <c r="B63" s="110"/>
      <c r="C63" s="110">
        <f>ROUNDDOWN(C61/(2*C57),0)*2</f>
        <v>1200</v>
      </c>
    </row>
    <row r="64" spans="1:3" hidden="1">
      <c r="A64" s="110"/>
      <c r="B64" s="110"/>
      <c r="C64" s="110"/>
    </row>
    <row r="65" spans="1:3" hidden="1">
      <c r="A65" s="110"/>
      <c r="B65" s="110"/>
      <c r="C65" s="110"/>
    </row>
    <row r="66" spans="1:3" ht="14.25" hidden="1">
      <c r="A66" s="118" t="s">
        <v>272</v>
      </c>
      <c r="B66" s="118"/>
      <c r="C66" s="118"/>
    </row>
    <row r="67" spans="1:3" ht="14.25">
      <c r="A67" s="118" t="s">
        <v>252</v>
      </c>
      <c r="B67" s="118" t="s">
        <v>273</v>
      </c>
      <c r="C67" s="118">
        <f>C43</f>
        <v>55.75</v>
      </c>
    </row>
  </sheetData>
  <sheetProtection algorithmName="SHA-512" hashValue="WToqPfvLcyGuEpZyuszeGVGuUfAKAWhc9mF7sIyPvSRMqIv9+pwf/UlYQSyl2v0B0SHflbLY3t6EswBITcS76g==" saltValue="3Nk+r2d326yMdxheu35+Ow==" spinCount="100000" sheet="1" objects="1" scenarios="1" selectLockedCells="1"/>
  <phoneticPr fontId="37" type="noConversion"/>
  <conditionalFormatting sqref="C4">
    <cfRule type="cellIs" dxfId="58" priority="2" operator="lessThan">
      <formula>8</formula>
    </cfRule>
    <cfRule type="cellIs" dxfId="57" priority="3" operator="greaterThan">
      <formula>$C$2</formula>
    </cfRule>
  </conditionalFormatting>
  <conditionalFormatting sqref="C5">
    <cfRule type="cellIs" dxfId="56" priority="4" stopIfTrue="1" operator="lessThan">
      <formula>2</formula>
    </cfRule>
    <cfRule type="cellIs" dxfId="55" priority="5" stopIfTrue="1" operator="greaterThan">
      <formula>$C$3</formula>
    </cfRule>
  </conditionalFormatting>
  <conditionalFormatting sqref="C67">
    <cfRule type="expression" dxfId="54" priority="1" stopIfTrue="1">
      <formula>$J$8=1</formula>
    </cfRule>
  </conditionalFormatting>
  <dataValidations count="20"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The input range is: [8~'WidthMax'], and the step size is 8" sqref="C4">
      <formula1>AND((C4&lt;=C2),(C4&gt;=8),(MOD(C4,8)=0))</formula1>
    </dataValidation>
    <dataValidation type="custom" allowBlank="1" showInputMessage="1" showErrorMessage="1" error="The input range:[2~'HeightMax'], and the step size is 2" sqref="C5">
      <formula1>AND((C5&lt;=C3),(C5&gt;=2),(MOD(C5,2)=0))</formula1>
    </dataValidation>
    <dataValidation type="custom" allowBlank="1" showInputMessage="1" showErrorMessage="1" error="The input parameter value is 1 or 2, and cannot be entered if the horizontal pixel sampling is not 1" sqref="C6">
      <formula1>AND(OR((C6=1),(C6=2)),C8=1)</formula1>
    </dataValidation>
    <dataValidation type="custom" allowBlank="1" showInputMessage="1" showErrorMessage="1" error="The input parameter value is 1 or 2, and cannot be entered if the vertical pixel sampling is not 1" sqref="C7">
      <formula1>AND(OR((C7=1),(C7=2)),C9=1)</formula1>
    </dataValidation>
    <dataValidation type="custom" allowBlank="1" showInputMessage="1" showErrorMessage="1" error="The input parameter has a value of 1 or 2 and cannot be entered when the horizontal pixel Binning is not 1" sqref="C8">
      <formula1>AND(OR((C8=1),(C8=2)),C6=1)</formula1>
    </dataValidation>
    <dataValidation type="custom" allowBlank="1" showInputMessage="1" showErrorMessage="1" error="The input parameter value is 1 or 2 and cannot be entered when the vertical pixel Binning is not 1" sqref="C9">
      <formula1>AND(OR((C9=1),(C9=2)),C7=1)</formula1>
    </dataValidation>
    <dataValidation type="whole" allowBlank="1" showInputMessage="1" showErrorMessage="1" error="The input range :[14,860000]" sqref="C10">
      <formula1>14</formula1>
      <formula2>860000</formula2>
    </dataValidation>
    <dataValidation type="whole" allowBlank="1" showInputMessage="1" showErrorMessage="1" error="输入范围是[0, 5000]，单位为us" sqref="C11">
      <formula1>0</formula1>
      <formula2>5000</formula2>
    </dataValidation>
    <dataValidation type="custom" allowBlank="1" showInputMessage="1" showErrorMessage="1" error="Please enter 8 or 10" sqref="C12">
      <formula1>OR((C12=8),(C12=10))</formula1>
    </dataValidation>
    <dataValidation type="custom" allowBlank="1" showInputMessage="1" showErrorMessage="1" error="The input range is [512,8192], and the step size is 4" sqref="C13">
      <formula1>AND((C13&lt;=8192),(C13&gt;=512),(MOD(C13,4)=0))</formula1>
    </dataValidation>
    <dataValidation type="whole" allowBlank="1" showInputMessage="1" showErrorMessage="1" error="Set the value range :[0~'GevSCPDMaxValue']" sqref="C14">
      <formula1>0</formula1>
      <formula2>C15</formula2>
    </dataValidation>
    <dataValidation type="whole" allowBlank="1" showErrorMessage="1" error="Set the value to exceed the maximum" prompt="应在包间隔范围内" sqref="C15">
      <formula1>0</formula1>
      <formula2>C45</formula2>
    </dataValidation>
    <dataValidation type="custom" allowBlank="1" showErrorMessage="1" error="Set the value range : [1.2,10000.0], accurate to one decimal point" prompt="应在包间隔范围内" sqref="C16">
      <formula1>AND(TRUNC(C16,1)=C16,(C16&gt;=1.2),(C16&lt;=10000))</formula1>
    </dataValidation>
    <dataValidation type="custom" allowBlank="1" showErrorMessage="1" error="Please enter a 0 or 1" prompt="应在包间隔范围内" sqref="C17">
      <formula1>OR((C17=0),(C17=1))</formula1>
    </dataValidation>
    <dataValidation type="whole" allowBlank="1" showInputMessage="1" showErrorMessage="1" error="Set the value range :[0~'BandwidthReserveMaxValue']" sqref="C19">
      <formula1>0</formula1>
      <formula2>C20</formula2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error="设置值超过包间隔范围" prompt="设置值应在预留带宽范围内" sqref="C20">
      <formula1>0</formula1>
      <formula2>C50</formula2>
    </dataValidation>
    <dataValidation type="custom" allowBlank="1" showInputMessage="1" showErrorMessage="1" error="Please enter a 0 or 1" sqref="C21">
      <formula1>OR((C21=0),(C21=1))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opLeftCell="B1" workbookViewId="0">
      <selection activeCell="C4" sqref="C4"/>
    </sheetView>
  </sheetViews>
  <sheetFormatPr defaultColWidth="9" defaultRowHeight="13.5"/>
  <cols>
    <col min="1" max="1" width="35" hidden="1" customWidth="1"/>
    <col min="2" max="2" width="30.75" customWidth="1"/>
    <col min="3" max="3" width="14.5" customWidth="1"/>
    <col min="4" max="4" width="18.625" customWidth="1"/>
    <col min="5" max="5" width="10.5" customWidth="1"/>
    <col min="10" max="17" width="9" hidden="1" customWidth="1"/>
  </cols>
  <sheetData>
    <row r="1" spans="1:21">
      <c r="A1" s="104" t="s">
        <v>197</v>
      </c>
      <c r="B1" s="104"/>
      <c r="C1" s="107"/>
      <c r="O1">
        <v>8</v>
      </c>
    </row>
    <row r="2" spans="1:21">
      <c r="A2" s="104" t="s">
        <v>198</v>
      </c>
      <c r="B2" s="104" t="s">
        <v>199</v>
      </c>
      <c r="C2" s="104">
        <f>ROUNDDOWN(1920/(4*C56)*4,0)</f>
        <v>1920</v>
      </c>
      <c r="O2">
        <v>12</v>
      </c>
    </row>
    <row r="3" spans="1:21">
      <c r="A3" s="104" t="s">
        <v>200</v>
      </c>
      <c r="B3" s="104" t="s">
        <v>201</v>
      </c>
      <c r="C3" s="104">
        <f>ROUNDDOWN(1200/(2*C57)*2,0)</f>
        <v>1200</v>
      </c>
    </row>
    <row r="4" spans="1:21">
      <c r="A4" s="104" t="s">
        <v>202</v>
      </c>
      <c r="B4" s="104" t="s">
        <v>203</v>
      </c>
      <c r="C4" s="107">
        <v>1920</v>
      </c>
      <c r="D4" s="105" t="str">
        <f>IF(OR(C4&gt;C2,C4&lt;4),J74,"")</f>
        <v/>
      </c>
      <c r="O4" s="259">
        <v>0</v>
      </c>
    </row>
    <row r="5" spans="1:21">
      <c r="A5" s="104" t="s">
        <v>204</v>
      </c>
      <c r="B5" s="104" t="s">
        <v>205</v>
      </c>
      <c r="C5" s="107">
        <v>1200</v>
      </c>
      <c r="D5" s="105" t="str">
        <f>IF(OR(C5&gt;C3,C5&lt;2),J75,"")</f>
        <v/>
      </c>
      <c r="O5" s="259">
        <v>1</v>
      </c>
    </row>
    <row r="6" spans="1:21">
      <c r="A6" s="104" t="s">
        <v>206</v>
      </c>
      <c r="B6" s="104" t="s">
        <v>207</v>
      </c>
      <c r="C6" s="107">
        <v>1</v>
      </c>
    </row>
    <row r="7" spans="1:21">
      <c r="A7" s="104" t="s">
        <v>208</v>
      </c>
      <c r="B7" s="104" t="s">
        <v>209</v>
      </c>
      <c r="C7" s="107">
        <v>1</v>
      </c>
      <c r="O7">
        <v>1000</v>
      </c>
    </row>
    <row r="8" spans="1:21">
      <c r="A8" s="104" t="s">
        <v>210</v>
      </c>
      <c r="B8" s="104" t="s">
        <v>211</v>
      </c>
      <c r="C8" s="107">
        <v>1</v>
      </c>
      <c r="O8">
        <v>100</v>
      </c>
    </row>
    <row r="9" spans="1:21">
      <c r="A9" s="104" t="s">
        <v>212</v>
      </c>
      <c r="B9" s="104" t="s">
        <v>213</v>
      </c>
      <c r="C9" s="107">
        <v>1</v>
      </c>
    </row>
    <row r="10" spans="1:21">
      <c r="A10" s="104" t="s">
        <v>214</v>
      </c>
      <c r="B10" s="104" t="s">
        <v>215</v>
      </c>
      <c r="C10" s="107">
        <v>20000</v>
      </c>
    </row>
    <row r="11" spans="1:21" ht="15.6" customHeight="1">
      <c r="A11" s="104" t="s">
        <v>216</v>
      </c>
      <c r="B11" s="104" t="s">
        <v>217</v>
      </c>
      <c r="C11" s="107">
        <v>0</v>
      </c>
    </row>
    <row r="12" spans="1:21">
      <c r="A12" s="104" t="s">
        <v>218</v>
      </c>
      <c r="B12" s="104" t="s">
        <v>219</v>
      </c>
      <c r="C12" s="107">
        <v>8</v>
      </c>
    </row>
    <row r="13" spans="1:21">
      <c r="A13" s="104" t="s">
        <v>220</v>
      </c>
      <c r="B13" s="104" t="s">
        <v>221</v>
      </c>
      <c r="C13" s="107">
        <v>1500</v>
      </c>
    </row>
    <row r="14" spans="1:21">
      <c r="A14" s="104" t="s">
        <v>222</v>
      </c>
      <c r="B14" s="104" t="s">
        <v>223</v>
      </c>
      <c r="C14" s="107">
        <v>0</v>
      </c>
    </row>
    <row r="15" spans="1:21">
      <c r="A15" s="104" t="s">
        <v>224</v>
      </c>
      <c r="B15" s="104" t="s">
        <v>225</v>
      </c>
      <c r="C15" s="104">
        <f>C46</f>
        <v>180000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</row>
    <row r="16" spans="1:21">
      <c r="A16" s="104" t="s">
        <v>226</v>
      </c>
      <c r="B16" s="104" t="s">
        <v>227</v>
      </c>
      <c r="C16" s="107">
        <v>40.6</v>
      </c>
    </row>
    <row r="17" spans="1:21">
      <c r="A17" s="104" t="s">
        <v>228</v>
      </c>
      <c r="B17" s="104" t="s">
        <v>229</v>
      </c>
      <c r="C17" s="107">
        <v>0</v>
      </c>
    </row>
    <row r="18" spans="1:21">
      <c r="A18" s="104" t="s">
        <v>230</v>
      </c>
      <c r="B18" s="104" t="s">
        <v>231</v>
      </c>
      <c r="C18" s="107">
        <v>1000</v>
      </c>
    </row>
    <row r="19" spans="1:21">
      <c r="A19" s="104" t="s">
        <v>232</v>
      </c>
      <c r="B19" s="104" t="s">
        <v>233</v>
      </c>
      <c r="C19" s="107">
        <v>10</v>
      </c>
    </row>
    <row r="20" spans="1:21">
      <c r="A20" s="104" t="s">
        <v>234</v>
      </c>
      <c r="B20" s="104" t="s">
        <v>235</v>
      </c>
      <c r="C20" s="104">
        <f>C50</f>
        <v>99</v>
      </c>
    </row>
    <row r="21" spans="1:21">
      <c r="A21" s="117"/>
      <c r="B21" s="104"/>
      <c r="C21" s="104"/>
    </row>
    <row r="22" spans="1:21" hidden="1">
      <c r="A22" s="117" t="s">
        <v>259</v>
      </c>
      <c r="B22" s="104"/>
      <c r="C22" s="635">
        <f>IF(C12=8,19896,39791)</f>
        <v>19896</v>
      </c>
    </row>
    <row r="23" spans="1:21" hidden="1">
      <c r="A23" s="117" t="s">
        <v>236</v>
      </c>
      <c r="B23" s="104"/>
      <c r="C23" s="110">
        <f>C16*10</f>
        <v>406</v>
      </c>
    </row>
    <row r="24" spans="1:21" hidden="1">
      <c r="A24" s="640" t="s">
        <v>237</v>
      </c>
      <c r="B24" s="640"/>
      <c r="C24" s="640">
        <f>(C59+38)</f>
        <v>1238</v>
      </c>
      <c r="D24" s="641"/>
      <c r="E24" s="641"/>
      <c r="F24" s="641"/>
      <c r="G24" s="641"/>
      <c r="H24" s="641"/>
      <c r="I24" s="641"/>
      <c r="J24" s="641"/>
      <c r="K24" s="641"/>
      <c r="L24" s="641"/>
      <c r="M24" s="641"/>
      <c r="N24" s="641"/>
      <c r="O24" s="641"/>
      <c r="P24" s="641"/>
      <c r="Q24" s="641"/>
      <c r="R24" s="641"/>
      <c r="S24" s="641"/>
      <c r="T24" s="641"/>
      <c r="U24" s="641"/>
    </row>
    <row r="25" spans="1:21" hidden="1">
      <c r="A25" s="117" t="s">
        <v>238</v>
      </c>
      <c r="B25" s="117"/>
      <c r="C25" s="117">
        <f>MAX(ROUNDUP(((1000*C10-13730)/C22),0),1)</f>
        <v>1005</v>
      </c>
      <c r="D25" s="642"/>
      <c r="E25" s="642"/>
      <c r="F25" s="642"/>
      <c r="G25" s="642"/>
      <c r="H25" s="642"/>
      <c r="I25" s="642"/>
      <c r="J25" s="642"/>
      <c r="K25" s="642"/>
      <c r="L25" s="642"/>
      <c r="M25" s="642"/>
      <c r="N25" s="642"/>
      <c r="O25" s="642"/>
      <c r="P25" s="642"/>
      <c r="Q25" s="642"/>
      <c r="R25" s="642"/>
      <c r="S25" s="642"/>
      <c r="T25" s="642"/>
      <c r="U25" s="642"/>
    </row>
    <row r="26" spans="1:21" hidden="1">
      <c r="A26" s="117" t="s">
        <v>239</v>
      </c>
      <c r="B26" s="117"/>
      <c r="C26" s="117">
        <f>ROUNDDOWN(C11*375/(10*746),0)</f>
        <v>0</v>
      </c>
      <c r="D26" s="642"/>
      <c r="E26" s="642"/>
      <c r="F26" s="642"/>
      <c r="G26" s="642"/>
      <c r="H26" s="642"/>
      <c r="I26" s="642"/>
      <c r="J26" s="642"/>
      <c r="K26" s="642"/>
      <c r="L26" s="642"/>
      <c r="M26" s="642"/>
      <c r="N26" s="642"/>
      <c r="O26" s="642"/>
      <c r="P26" s="642"/>
      <c r="Q26" s="642"/>
      <c r="R26" s="642"/>
      <c r="S26" s="642"/>
      <c r="T26" s="642"/>
      <c r="U26" s="642"/>
    </row>
    <row r="27" spans="1:21" hidden="1">
      <c r="A27" s="640" t="s">
        <v>240</v>
      </c>
      <c r="B27" s="640"/>
      <c r="C27" s="640">
        <f>C25+C26+14</f>
        <v>1019</v>
      </c>
      <c r="D27" s="641"/>
      <c r="E27" s="641"/>
      <c r="F27" s="641"/>
      <c r="G27" s="641"/>
      <c r="H27" s="641"/>
      <c r="I27" s="641"/>
      <c r="J27" s="641"/>
      <c r="K27" s="641"/>
      <c r="L27" s="641"/>
      <c r="M27" s="641"/>
      <c r="N27" s="641"/>
      <c r="O27" s="641"/>
      <c r="P27" s="641"/>
      <c r="Q27" s="641"/>
      <c r="R27" s="641"/>
      <c r="S27" s="641"/>
      <c r="T27" s="641"/>
      <c r="U27" s="641"/>
    </row>
    <row r="28" spans="1:21" hidden="1">
      <c r="A28" s="117" t="s">
        <v>313</v>
      </c>
      <c r="B28" s="117"/>
      <c r="C28" s="117">
        <v>1250</v>
      </c>
      <c r="D28" s="642"/>
      <c r="E28" s="642"/>
      <c r="F28" s="642"/>
      <c r="G28" s="642"/>
      <c r="H28" s="642"/>
      <c r="I28" s="642"/>
      <c r="J28" s="642"/>
      <c r="K28" s="642"/>
      <c r="L28" s="642"/>
      <c r="M28" s="642"/>
      <c r="N28" s="642"/>
      <c r="O28" s="642"/>
      <c r="P28" s="642"/>
      <c r="Q28" s="642"/>
      <c r="R28" s="642"/>
      <c r="S28" s="642"/>
      <c r="T28" s="642"/>
      <c r="U28" s="642"/>
    </row>
    <row r="29" spans="1:21" hidden="1">
      <c r="A29" s="117" t="s">
        <v>241</v>
      </c>
      <c r="B29" s="117"/>
      <c r="C29" s="117">
        <v>0</v>
      </c>
      <c r="D29" s="642"/>
      <c r="E29" s="642"/>
      <c r="F29" s="642"/>
      <c r="G29" s="642"/>
      <c r="H29" s="642"/>
      <c r="I29" s="642"/>
      <c r="J29" s="642"/>
      <c r="K29" s="642"/>
      <c r="L29" s="642"/>
      <c r="M29" s="642"/>
      <c r="N29" s="642"/>
      <c r="O29" s="642"/>
      <c r="P29" s="642"/>
      <c r="Q29" s="642"/>
      <c r="R29" s="642"/>
      <c r="S29" s="642"/>
      <c r="T29" s="642"/>
      <c r="U29" s="642"/>
    </row>
    <row r="30" spans="1:21" hidden="1">
      <c r="A30" s="117" t="s">
        <v>242</v>
      </c>
      <c r="B30" s="117"/>
      <c r="C30" s="117">
        <f>C4*C5*IF(C12=8,1,2)+C29*32</f>
        <v>2304000</v>
      </c>
      <c r="D30" s="642"/>
      <c r="E30" s="642"/>
      <c r="F30" s="642"/>
      <c r="G30" s="642"/>
      <c r="H30" s="642"/>
      <c r="I30" s="642"/>
      <c r="J30" s="642"/>
      <c r="K30" s="642"/>
      <c r="L30" s="642"/>
      <c r="M30" s="642"/>
      <c r="N30" s="642"/>
      <c r="O30" s="642"/>
      <c r="P30" s="642"/>
      <c r="Q30" s="642"/>
      <c r="R30" s="642"/>
      <c r="S30" s="642"/>
      <c r="T30" s="642"/>
      <c r="U30" s="642"/>
    </row>
    <row r="31" spans="1:21" hidden="1">
      <c r="A31" s="117" t="s">
        <v>243</v>
      </c>
      <c r="B31" s="117"/>
      <c r="C31" s="117">
        <f>ROUNDDOWN((C4*C5*ROUNDUP(C12/8,0)+C29*36)/(C13-36),0)</f>
        <v>1573</v>
      </c>
      <c r="D31" s="642"/>
      <c r="E31" s="642"/>
      <c r="F31" s="642"/>
      <c r="G31" s="642"/>
      <c r="H31" s="642"/>
      <c r="I31" s="642"/>
      <c r="J31" s="642"/>
      <c r="K31" s="642"/>
      <c r="L31" s="642"/>
      <c r="M31" s="642"/>
      <c r="N31" s="642"/>
      <c r="O31" s="642"/>
      <c r="P31" s="642"/>
      <c r="Q31" s="642"/>
      <c r="R31" s="642"/>
      <c r="S31" s="642"/>
      <c r="T31" s="642"/>
      <c r="U31" s="642"/>
    </row>
    <row r="32" spans="1:21" hidden="1">
      <c r="A32" s="117" t="s">
        <v>332</v>
      </c>
      <c r="B32" s="117"/>
      <c r="C32" s="117">
        <f>IF(C29=0,36,12)</f>
        <v>36</v>
      </c>
      <c r="D32" s="642"/>
      <c r="E32" s="642"/>
      <c r="F32" s="642"/>
      <c r="G32" s="642"/>
      <c r="H32" s="642"/>
      <c r="I32" s="642"/>
      <c r="J32" s="642"/>
      <c r="K32" s="642"/>
      <c r="L32" s="642"/>
      <c r="M32" s="642"/>
      <c r="N32" s="642"/>
      <c r="O32" s="642"/>
      <c r="P32" s="642"/>
      <c r="Q32" s="642"/>
      <c r="R32" s="642"/>
      <c r="S32" s="642"/>
      <c r="T32" s="642"/>
      <c r="U32" s="642"/>
    </row>
    <row r="33" spans="1:21" hidden="1">
      <c r="A33" s="117" t="s">
        <v>244</v>
      </c>
      <c r="B33" s="117"/>
      <c r="C33" s="117">
        <f>C4*C5*ROUNDUP(C12/8,0)+C29*32-(C13-36)*C31</f>
        <v>1128</v>
      </c>
      <c r="D33" s="642"/>
      <c r="E33" s="642"/>
      <c r="F33" s="642"/>
      <c r="G33" s="642"/>
      <c r="H33" s="642"/>
      <c r="I33" s="642"/>
      <c r="J33" s="642"/>
      <c r="K33" s="642"/>
      <c r="L33" s="642"/>
      <c r="M33" s="642"/>
      <c r="N33" s="642"/>
      <c r="O33" s="642"/>
      <c r="P33" s="642"/>
      <c r="Q33" s="642"/>
      <c r="R33" s="642"/>
      <c r="S33" s="642"/>
      <c r="T33" s="642"/>
      <c r="U33" s="642"/>
    </row>
    <row r="34" spans="1:21" hidden="1">
      <c r="A34" s="117" t="s">
        <v>245</v>
      </c>
      <c r="B34" s="117"/>
      <c r="C34" s="117">
        <f>IF(C33=0,0,1)</f>
        <v>1</v>
      </c>
      <c r="D34" s="642"/>
      <c r="E34" s="642"/>
      <c r="F34" s="642"/>
      <c r="G34" s="642"/>
      <c r="H34" s="642"/>
      <c r="I34" s="642"/>
      <c r="J34" s="642"/>
      <c r="K34" s="642"/>
      <c r="L34" s="642"/>
      <c r="M34" s="642"/>
      <c r="N34" s="642"/>
      <c r="O34" s="642"/>
      <c r="P34" s="642"/>
      <c r="Q34" s="642"/>
      <c r="R34" s="642"/>
      <c r="S34" s="642"/>
      <c r="T34" s="642"/>
      <c r="U34" s="642"/>
    </row>
    <row r="35" spans="1:21" ht="27" hidden="1">
      <c r="A35" s="117" t="s">
        <v>246</v>
      </c>
      <c r="B35" s="117"/>
      <c r="C35" s="117">
        <f>(C13+26)*C31+C34*(C33+62)</f>
        <v>2401588</v>
      </c>
      <c r="D35" s="642"/>
      <c r="E35" s="642"/>
      <c r="F35" s="642"/>
      <c r="G35" s="642"/>
      <c r="H35" s="642"/>
      <c r="I35" s="642"/>
      <c r="J35" s="642"/>
      <c r="K35" s="642"/>
      <c r="L35" s="642"/>
      <c r="M35" s="642"/>
      <c r="N35" s="642"/>
      <c r="O35" s="642"/>
      <c r="P35" s="642"/>
      <c r="Q35" s="642"/>
      <c r="R35" s="642"/>
      <c r="S35" s="642"/>
      <c r="T35" s="642"/>
      <c r="U35" s="642"/>
    </row>
    <row r="36" spans="1:21" hidden="1">
      <c r="A36" s="117" t="s">
        <v>247</v>
      </c>
      <c r="B36" s="117"/>
      <c r="C36" s="117">
        <f>(C14+12)*(C34+C31+2)</f>
        <v>18912</v>
      </c>
      <c r="D36" s="642"/>
      <c r="E36" s="642"/>
      <c r="F36" s="642"/>
      <c r="G36" s="642"/>
      <c r="H36" s="642"/>
      <c r="I36" s="642"/>
      <c r="J36" s="642"/>
      <c r="K36" s="642"/>
      <c r="L36" s="642"/>
      <c r="M36" s="642"/>
      <c r="N36" s="642"/>
      <c r="O36" s="642"/>
      <c r="P36" s="642"/>
      <c r="Q36" s="642"/>
      <c r="R36" s="642"/>
      <c r="S36" s="642"/>
      <c r="T36" s="642"/>
      <c r="U36" s="642"/>
    </row>
    <row r="37" spans="1:21" hidden="1">
      <c r="A37" s="117" t="s">
        <v>248</v>
      </c>
      <c r="B37" s="117"/>
      <c r="C37" s="117">
        <f>C35+C36+98+72</f>
        <v>2420670</v>
      </c>
      <c r="D37" s="642"/>
      <c r="E37" s="642"/>
      <c r="F37" s="642"/>
      <c r="G37" s="642"/>
      <c r="H37" s="642"/>
      <c r="I37" s="642"/>
      <c r="J37" s="642"/>
      <c r="K37" s="642"/>
      <c r="L37" s="642"/>
      <c r="M37" s="642"/>
      <c r="N37" s="642"/>
      <c r="O37" s="642"/>
      <c r="P37" s="642"/>
      <c r="Q37" s="642"/>
      <c r="R37" s="642"/>
      <c r="S37" s="642"/>
      <c r="T37" s="642"/>
      <c r="U37" s="642"/>
    </row>
    <row r="38" spans="1:21" hidden="1">
      <c r="A38" s="117" t="s">
        <v>249</v>
      </c>
      <c r="B38" s="117"/>
      <c r="C38" s="117">
        <f>ROUNDUP(ROUNDUP(C37*1000000000/C49,0)*10/C22,0)</f>
        <v>1082</v>
      </c>
      <c r="D38" s="642"/>
      <c r="E38" s="642"/>
      <c r="F38" s="642"/>
      <c r="G38" s="642"/>
      <c r="H38" s="642"/>
      <c r="I38" s="642"/>
      <c r="J38" s="642"/>
      <c r="K38" s="642"/>
      <c r="L38" s="642"/>
      <c r="M38" s="642"/>
      <c r="N38" s="642"/>
      <c r="O38" s="642"/>
      <c r="P38" s="642"/>
      <c r="Q38" s="642"/>
      <c r="R38" s="642"/>
      <c r="S38" s="642"/>
      <c r="T38" s="642"/>
      <c r="U38" s="642"/>
    </row>
    <row r="39" spans="1:21" hidden="1">
      <c r="A39" s="117" t="s">
        <v>364</v>
      </c>
      <c r="B39" s="117"/>
      <c r="C39" s="117">
        <f>ROUNDUP((C30+C32+10)*10*1000/C28/C22,0)</f>
        <v>927</v>
      </c>
      <c r="D39" s="642"/>
      <c r="E39" s="642"/>
      <c r="F39" s="642"/>
      <c r="G39" s="642"/>
      <c r="H39" s="642"/>
      <c r="I39" s="642"/>
      <c r="J39" s="642"/>
      <c r="K39" s="642"/>
      <c r="L39" s="642"/>
      <c r="M39" s="642"/>
      <c r="N39" s="642"/>
      <c r="O39" s="642"/>
      <c r="P39" s="642"/>
      <c r="Q39" s="642"/>
      <c r="R39" s="642"/>
      <c r="S39" s="642"/>
      <c r="T39" s="642"/>
      <c r="U39" s="642"/>
    </row>
    <row r="40" spans="1:21" hidden="1">
      <c r="A40" s="640" t="s">
        <v>417</v>
      </c>
      <c r="B40" s="640"/>
      <c r="C40" s="640">
        <f>MAX(C38,C39)</f>
        <v>1082</v>
      </c>
      <c r="D40" s="641"/>
      <c r="E40" s="641"/>
      <c r="F40" s="641"/>
      <c r="G40" s="641"/>
      <c r="H40" s="641"/>
      <c r="I40" s="641"/>
      <c r="J40" s="641"/>
      <c r="K40" s="641"/>
      <c r="L40" s="641"/>
      <c r="M40" s="641"/>
      <c r="N40" s="641"/>
      <c r="O40" s="641"/>
      <c r="P40" s="641"/>
      <c r="Q40" s="641"/>
      <c r="R40" s="641"/>
      <c r="S40" s="641"/>
      <c r="T40" s="641"/>
      <c r="U40" s="641"/>
    </row>
    <row r="41" spans="1:21" hidden="1">
      <c r="A41" s="117" t="s">
        <v>360</v>
      </c>
      <c r="B41" s="117"/>
      <c r="C41" s="117">
        <f>INT(C18*(100-C19)/80)</f>
        <v>1125</v>
      </c>
      <c r="D41" s="642"/>
      <c r="E41" s="642"/>
      <c r="F41" s="642"/>
      <c r="G41" s="642"/>
      <c r="H41" s="642"/>
      <c r="I41" s="642"/>
      <c r="J41" s="642"/>
      <c r="K41" s="642"/>
      <c r="L41" s="642"/>
      <c r="M41" s="642"/>
      <c r="N41" s="642"/>
      <c r="O41" s="642"/>
      <c r="P41" s="642"/>
      <c r="Q41" s="642"/>
      <c r="R41" s="642"/>
      <c r="S41" s="642"/>
      <c r="T41" s="642"/>
      <c r="U41" s="642"/>
    </row>
    <row r="42" spans="1:21" hidden="1">
      <c r="A42" s="117" t="s">
        <v>250</v>
      </c>
      <c r="B42" s="117"/>
      <c r="C42" s="117">
        <f>ROUNDUP((1000000000/C16/C22)*C17,0)</f>
        <v>0</v>
      </c>
      <c r="D42" s="642"/>
      <c r="E42" s="642"/>
      <c r="F42" s="642"/>
      <c r="G42" s="642"/>
      <c r="H42" s="642"/>
      <c r="I42" s="642"/>
      <c r="J42" s="642"/>
      <c r="K42" s="642"/>
      <c r="L42" s="642"/>
      <c r="M42" s="642"/>
      <c r="N42" s="642"/>
      <c r="O42" s="642"/>
      <c r="P42" s="642"/>
      <c r="Q42" s="642"/>
      <c r="R42" s="642"/>
      <c r="S42" s="642"/>
      <c r="T42" s="642"/>
      <c r="U42" s="642"/>
    </row>
    <row r="43" spans="1:21" hidden="1">
      <c r="A43" s="640" t="s">
        <v>251</v>
      </c>
      <c r="B43" s="640"/>
      <c r="C43" s="640">
        <f>IF(C17=1,ROUNDUP(MAX(C24,C27,C40,C42)*C22,0)/1000,ROUNDUP(MAX(C24,C27,C40)*C22/1000,0))</f>
        <v>24632</v>
      </c>
      <c r="D43" s="641"/>
      <c r="E43" s="641"/>
      <c r="F43" s="641"/>
      <c r="G43" s="641"/>
      <c r="H43" s="641"/>
      <c r="I43" s="641"/>
      <c r="J43" s="641"/>
      <c r="K43" s="641"/>
      <c r="L43" s="641"/>
      <c r="M43" s="641"/>
      <c r="N43" s="641"/>
      <c r="O43" s="641"/>
      <c r="P43" s="641"/>
      <c r="Q43" s="641"/>
      <c r="R43" s="641"/>
      <c r="S43" s="641"/>
      <c r="T43" s="641"/>
      <c r="U43" s="641"/>
    </row>
    <row r="44" spans="1:21" hidden="1">
      <c r="A44" s="117" t="s">
        <v>252</v>
      </c>
      <c r="B44" s="117"/>
      <c r="C44" s="117">
        <f>1000000/C43</f>
        <v>40.597596622279958</v>
      </c>
      <c r="D44" s="642"/>
      <c r="E44" s="642"/>
      <c r="F44" s="642"/>
      <c r="G44" s="642"/>
      <c r="H44" s="642"/>
      <c r="I44" s="642"/>
      <c r="J44" s="642"/>
      <c r="K44" s="642"/>
      <c r="L44" s="642"/>
      <c r="M44" s="642"/>
      <c r="N44" s="642"/>
      <c r="O44" s="642"/>
      <c r="P44" s="642"/>
      <c r="Q44" s="642"/>
      <c r="R44" s="642"/>
      <c r="S44" s="642"/>
      <c r="T44" s="642"/>
      <c r="U44" s="642"/>
    </row>
    <row r="45" spans="1:21" hidden="1">
      <c r="A45" s="637" t="s">
        <v>253</v>
      </c>
      <c r="B45" s="110"/>
      <c r="C45" s="110">
        <f>12500*C18*(100-C19)</f>
        <v>1125000000</v>
      </c>
    </row>
    <row r="46" spans="1:21" hidden="1">
      <c r="A46" s="110" t="s">
        <v>254</v>
      </c>
      <c r="B46" s="110"/>
      <c r="C46" s="110">
        <f>IF((ROUNDDOWN((C45-(62+C13-36)*C31-62-C33-168+C29*24)/(C31+3),0)-12)&gt;C47,C47,ROUNDDOWN((C45-(62+C13-36)*C31-62-C33-168+C29*24)/(C31+3),0)-12)</f>
        <v>180000</v>
      </c>
    </row>
    <row r="47" spans="1:21" hidden="1">
      <c r="A47" s="110" t="s">
        <v>255</v>
      </c>
      <c r="B47" s="110"/>
      <c r="C47" s="110">
        <f>IF(C18=1000,180000,18000)</f>
        <v>180000</v>
      </c>
    </row>
    <row r="48" spans="1:21" hidden="1">
      <c r="A48" s="110" t="s">
        <v>256</v>
      </c>
      <c r="B48" s="110"/>
      <c r="C48" s="110">
        <f>((62+(C13-36))*C31+62+C33+168)+(C14+12)*(C31+3)</f>
        <v>2420668</v>
      </c>
    </row>
    <row r="49" spans="1:3" hidden="1">
      <c r="A49" s="637" t="s">
        <v>253</v>
      </c>
      <c r="B49" s="110"/>
      <c r="C49" s="110">
        <f>INT(1000000*C18*(100-C19)/80)</f>
        <v>1125000000</v>
      </c>
    </row>
    <row r="50" spans="1:3" hidden="1">
      <c r="A50" s="110" t="s">
        <v>257</v>
      </c>
      <c r="B50" s="110"/>
      <c r="C50" s="110">
        <f>IF((100-ROUNDDOWN(C48*10/(1250000*C18/10),0)-1)&lt;0,0,(100-ROUNDDOWN(C48*10/(1250000*C18/10),0)-1))</f>
        <v>99</v>
      </c>
    </row>
    <row r="51" spans="1:3" hidden="1">
      <c r="A51" s="110" t="s">
        <v>258</v>
      </c>
      <c r="B51" s="110"/>
      <c r="C51" s="110">
        <f>ROUNDDOWN((C45-(62+C13-36)*C31-62-C33-168+C29*24)/(C31+3),0)-12</f>
        <v>712296</v>
      </c>
    </row>
    <row r="52" spans="1:3" hidden="1">
      <c r="A52" s="110" t="s">
        <v>415</v>
      </c>
      <c r="B52" s="110"/>
      <c r="C52" s="110">
        <f>INT(1000000000/INT((C43*746*10/375)))</f>
        <v>2040</v>
      </c>
    </row>
    <row r="53" spans="1:3" ht="15" hidden="1" customHeight="1">
      <c r="A53" s="110" t="s">
        <v>416</v>
      </c>
      <c r="B53" s="110"/>
      <c r="C53" s="110">
        <f>INT(C4*C52/10*IF(C12=8,1,2)/10*C5/10)</f>
        <v>4700160</v>
      </c>
    </row>
    <row r="54" spans="1:3" ht="12.75" hidden="1" customHeight="1">
      <c r="A54" s="110" t="s">
        <v>366</v>
      </c>
      <c r="B54" s="110"/>
      <c r="C54" s="110">
        <f>INT(C53*10/(100-C19)*10)</f>
        <v>5222400</v>
      </c>
    </row>
    <row r="55" spans="1:3" hidden="1">
      <c r="A55" s="110"/>
      <c r="B55" s="110"/>
      <c r="C55" s="110"/>
    </row>
    <row r="56" spans="1:3" hidden="1">
      <c r="A56" s="110" t="s">
        <v>264</v>
      </c>
      <c r="B56" s="110"/>
      <c r="C56" s="110">
        <f>IF(C6=2,2,(IF(C8=2,2,1)))</f>
        <v>1</v>
      </c>
    </row>
    <row r="57" spans="1:3" hidden="1">
      <c r="A57" s="110" t="s">
        <v>265</v>
      </c>
      <c r="B57" s="110"/>
      <c r="C57" s="110">
        <f>IF(C7=2,2,(IF(C9=2,2,1)))</f>
        <v>1</v>
      </c>
    </row>
    <row r="58" spans="1:3" hidden="1">
      <c r="A58" s="110" t="s">
        <v>266</v>
      </c>
      <c r="B58" s="110"/>
      <c r="C58" s="110">
        <f>ROUNDDOWN(C62/4,0)*4*C56</f>
        <v>1920</v>
      </c>
    </row>
    <row r="59" spans="1:3" hidden="1">
      <c r="A59" s="110" t="s">
        <v>267</v>
      </c>
      <c r="B59" s="110"/>
      <c r="C59" s="110">
        <f>ROUNDDOWN(C63/2,0)*2*C57</f>
        <v>1200</v>
      </c>
    </row>
    <row r="60" spans="1:3" hidden="1">
      <c r="A60" s="110" t="s">
        <v>268</v>
      </c>
      <c r="B60" s="110"/>
      <c r="C60" s="110">
        <f>ROUNDDOWN(C4/4,0)*4*C56</f>
        <v>1920</v>
      </c>
    </row>
    <row r="61" spans="1:3" hidden="1">
      <c r="A61" s="110" t="s">
        <v>269</v>
      </c>
      <c r="B61" s="110"/>
      <c r="C61" s="110">
        <f>ROUNDDOWN(C5/2,0)*2*C57</f>
        <v>1200</v>
      </c>
    </row>
    <row r="62" spans="1:3" hidden="1">
      <c r="A62" s="110" t="s">
        <v>270</v>
      </c>
      <c r="B62" s="110"/>
      <c r="C62" s="110">
        <f>ROUNDDOWN(C60/(4*C56),0)*4</f>
        <v>1920</v>
      </c>
    </row>
    <row r="63" spans="1:3" hidden="1">
      <c r="A63" s="110" t="s">
        <v>271</v>
      </c>
      <c r="B63" s="110"/>
      <c r="C63" s="110">
        <f>ROUNDDOWN(C61/(2*C57),0)*2</f>
        <v>1200</v>
      </c>
    </row>
    <row r="64" spans="1:3" hidden="1">
      <c r="A64" s="110"/>
      <c r="B64" s="110"/>
      <c r="C64" s="110"/>
    </row>
    <row r="65" spans="1:10" hidden="1">
      <c r="A65" s="110"/>
      <c r="B65" s="110"/>
      <c r="C65" s="110"/>
    </row>
    <row r="66" spans="1:10" ht="14.25" hidden="1">
      <c r="A66" s="118" t="s">
        <v>272</v>
      </c>
      <c r="B66" s="118"/>
      <c r="C66" s="118"/>
    </row>
    <row r="67" spans="1:10" ht="14.25">
      <c r="A67" s="118" t="s">
        <v>252</v>
      </c>
      <c r="B67" s="118" t="s">
        <v>273</v>
      </c>
      <c r="C67" s="118">
        <f>ROUND(C44,2)</f>
        <v>40.6</v>
      </c>
      <c r="D67" s="120" t="str">
        <f>IF(J80=1,J76,"")</f>
        <v/>
      </c>
    </row>
    <row r="73" spans="1:10">
      <c r="J73" t="s">
        <v>418</v>
      </c>
    </row>
    <row r="74" spans="1:10">
      <c r="J74" s="259" t="s">
        <v>419</v>
      </c>
    </row>
    <row r="75" spans="1:10">
      <c r="J75" s="115" t="s">
        <v>420</v>
      </c>
    </row>
    <row r="76" spans="1:10">
      <c r="J76" t="s">
        <v>421</v>
      </c>
    </row>
    <row r="79" spans="1:10">
      <c r="J79" t="s">
        <v>422</v>
      </c>
    </row>
    <row r="80" spans="1:10">
      <c r="J80">
        <f>IF(OR(OR(C4&gt;C2,C4&lt;4),OR(C5&gt;C3,C5&lt;2)),1,0)</f>
        <v>0</v>
      </c>
    </row>
  </sheetData>
  <sheetProtection algorithmName="SHA-512" hashValue="fh4fMiauM951wkp1vDXw3cr7PoDPNA9baPO7efgSAUu21cIUOxGXXx9B9nr25OtSjBQKa1QZljfic6X3/vaEIQ==" saltValue="zN9Ro8hOIUdaV0yDYfIUEA==" spinCount="100000" sheet="1" objects="1" scenarios="1" selectLockedCells="1"/>
  <phoneticPr fontId="37" type="noConversion"/>
  <conditionalFormatting sqref="C4">
    <cfRule type="cellIs" dxfId="53" priority="2" operator="lessThan">
      <formula>4</formula>
    </cfRule>
    <cfRule type="cellIs" dxfId="52" priority="3" operator="greaterThan">
      <formula>$C$2</formula>
    </cfRule>
  </conditionalFormatting>
  <conditionalFormatting sqref="C5">
    <cfRule type="cellIs" dxfId="51" priority="4" stopIfTrue="1" operator="lessThan">
      <formula>2</formula>
    </cfRule>
    <cfRule type="cellIs" dxfId="50" priority="5" stopIfTrue="1" operator="greaterThan">
      <formula>$C$3</formula>
    </cfRule>
  </conditionalFormatting>
  <conditionalFormatting sqref="C67">
    <cfRule type="expression" dxfId="49" priority="1" stopIfTrue="1">
      <formula>$J$8=1</formula>
    </cfRule>
  </conditionalFormatting>
  <dataValidations count="20">
    <dataValidation type="custom" allowBlank="1" showInputMessage="1" showErrorMessage="1" errorTitle="Input parameter error" error="Input 1 or 2, and can not be entered when the 'DecimationHorizontal' is not 1" sqref="C6">
      <formula1>AND(OR((C6=1),(C6=2)),C8=1)</formula1>
    </dataValidation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Title="Input parameter error" error="Input 1 or 2, and can not be entered when the 'BinningHorizontal' is not 1" sqref="C8">
      <formula1>AND(OR((C8=1),(C8=2)),C6=1)</formula1>
    </dataValidation>
    <dataValidation type="custom" allowBlank="1" showInputMessage="1" showErrorMessage="1" errorTitle="Input parameter error" error="Input range:[8, 'WidthMax'],and is an integer multiple of 8._x000a__x000a_" sqref="C4">
      <formula1>AND((C4&lt;=C2),(C4&gt;=8),(MOD(C4,8)=0))</formula1>
    </dataValidation>
    <dataValidation type="list" allowBlank="1" showInputMessage="1" showErrorMessage="1" error="Input 8 or 12" sqref="C12">
      <formula1>$O$1:$O$2</formula1>
    </dataValidation>
    <dataValidation allowBlank="1" showErrorMessage="1" promptTitle="参数变化" prompt="该参数会根据当前生效的垂直像素Binning、垂直像素抽样变化" sqref="C3"/>
    <dataValidation type="list" allowBlank="1" showInputMessage="1" showErrorMessage="1" sqref="O3">
      <formula1>$O$1:$O$2</formula1>
    </dataValidation>
    <dataValidation type="custom" allowBlank="1" showInputMessage="1" showErrorMessage="1" errorTitle="Input parameter error" error="Input range:[512, 8192],and is an integer multiple of 4" sqref="C13">
      <formula1>AND((C13&lt;=8192),(C13&gt;=512),(MOD(C13,4)=0))</formula1>
    </dataValidation>
    <dataValidation type="custom" allowBlank="1" showInputMessage="1" showErrorMessage="1" errorTitle="Input parameter error" error="Input range:[2, 'HeightMax'],and is an integer multiple of 2" sqref="C5">
      <formula1>AND((C5&lt;=C3),(C5&gt;=2),(MOD(C5,2)=0))</formula1>
    </dataValidation>
    <dataValidation type="custom" allowBlank="1" showInputMessage="1" showErrorMessage="1" errorTitle="Input parameter error" error="Input 1 or 2, and can not be entered when the 'DecimationVertical' is not 1" sqref="C7">
      <formula1>AND(OR((C7=1),(C7=2)),C9=1)</formula1>
    </dataValidation>
    <dataValidation type="custom" allowBlank="1" showInputMessage="1" showErrorMessage="1" errorTitle="Input parameter error" error="Input 1 or 2, and can not be entered when the 'BinningVertical' is not 1" sqref="C9">
      <formula1>AND(OR((C9=1),(C9=2)),C7=1)</formula1>
    </dataValidation>
    <dataValidation type="whole" allowBlank="1" showInputMessage="1" showErrorMessage="1" errorTitle="Input parameter error" error="Input range:[20, 1000000]" sqref="C10">
      <formula1>20</formula1>
      <formula2>1000000</formula2>
    </dataValidation>
    <dataValidation type="list" allowBlank="1" showErrorMessage="1" error="Input 0 or 1" prompt="应在包间隔范围内" sqref="C17">
      <formula1>$O$4:$O$5</formula1>
    </dataValidation>
    <dataValidation type="whole" allowBlank="1" showInputMessage="1" showErrorMessage="1" error="Input range:[0, 5000]" sqref="C11">
      <formula1>0</formula1>
      <formula2>5000</formula2>
    </dataValidation>
    <dataValidation type="whole" allowBlank="1" showInputMessage="1" showErrorMessage="1" errorTitle="Input parameter error" error="Input range:[0, 'GevSCPDMaxValue'], and is an integer multiple of 1" sqref="C14">
      <formula1>0</formula1>
      <formula2>C15</formula2>
    </dataValidation>
    <dataValidation type="whole" allowBlank="1" showErrorMessage="1" errorTitle="Input parameter error" error="The value set exceeds the maximum value" prompt="应在包间隔范围内" sqref="C15">
      <formula1>0</formula1>
      <formula2>C46</formula2>
    </dataValidation>
    <dataValidation type="custom" allowBlank="1" showErrorMessage="1" errorTitle="Input parameter error" error="Input range:[0.1, 10000],step 0.1" prompt="应在包间隔范围内" sqref="C16">
      <formula1>AND(TRUNC(C16,1)=C16,(C16&gt;=0.1),(C16&lt;=10000))</formula1>
    </dataValidation>
    <dataValidation type="list" allowBlank="1" showInputMessage="1" showErrorMessage="1" error="Input 1000 or 100" sqref="C18">
      <formula1>$O$7:$O$8</formula1>
    </dataValidation>
    <dataValidation type="whole" allowBlank="1" showInputMessage="1" showErrorMessage="1" errorTitle="Input parameter error" error="Input range:[0, 'BandwidthReserveMaxValue'], and is an integer multiple of 1" sqref="C19">
      <formula1>0</formula1>
      <formula2>C20</formula2>
    </dataValidation>
    <dataValidation type="whole" allowBlank="1" error="设置值超过包间隔范围" prompt="设置值应在预留带宽范围内" sqref="C20">
      <formula1>0</formula1>
      <formula2>C50</formula2>
    </dataValidation>
  </dataValidations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128"/>
  <sheetViews>
    <sheetView workbookViewId="0">
      <selection activeCell="B16" sqref="B16"/>
    </sheetView>
  </sheetViews>
  <sheetFormatPr defaultColWidth="9" defaultRowHeight="13.5"/>
  <cols>
    <col min="1" max="1" width="33.625" customWidth="1"/>
    <col min="2" max="2" width="24.375" customWidth="1"/>
    <col min="3" max="3" width="16.5" style="1" customWidth="1"/>
    <col min="4" max="4" width="11.75" style="1" customWidth="1"/>
    <col min="5" max="5" width="14.875" style="1" customWidth="1"/>
    <col min="6" max="6" width="11" style="1" customWidth="1"/>
    <col min="7" max="7" width="6.75" style="1" customWidth="1"/>
    <col min="8" max="8" width="4.5" style="1" customWidth="1"/>
    <col min="9" max="9" width="17.75" style="1" customWidth="1"/>
    <col min="10" max="10" width="15.75" style="1" customWidth="1"/>
    <col min="11" max="11" width="57.375" style="1" customWidth="1"/>
    <col min="12" max="12" width="18.25" style="1" customWidth="1"/>
    <col min="13" max="14" width="4.5" style="1" customWidth="1"/>
    <col min="15" max="15" width="19.25" style="1" customWidth="1"/>
    <col min="16" max="16" width="16" style="1" customWidth="1"/>
    <col min="17" max="17" width="43.5" style="1" customWidth="1"/>
    <col min="18" max="18" width="10.25" style="1" customWidth="1"/>
    <col min="19" max="19" width="6.375" style="1" customWidth="1"/>
    <col min="20" max="20" width="4.875" style="1" customWidth="1"/>
    <col min="21" max="21" width="26.5" style="1" customWidth="1"/>
    <col min="22" max="22" width="13.125" style="1" customWidth="1"/>
    <col min="23" max="23" width="20.625" style="1" customWidth="1"/>
    <col min="24" max="24" width="21.375" style="1" customWidth="1"/>
    <col min="25" max="25" width="14.125" style="1" customWidth="1"/>
    <col min="26" max="26" width="12.625" style="1" customWidth="1"/>
    <col min="27" max="27" width="12" style="1" customWidth="1"/>
    <col min="28" max="28" width="14" style="1" customWidth="1"/>
    <col min="29" max="29" width="17" style="1" customWidth="1"/>
    <col min="30" max="30" width="20.375" style="1" customWidth="1"/>
    <col min="31" max="31" width="21" style="1" customWidth="1"/>
    <col min="32" max="32" width="20.25" style="1" customWidth="1"/>
    <col min="33" max="33" width="21.5" style="1" customWidth="1"/>
    <col min="34" max="34" width="24.125" style="1" customWidth="1"/>
    <col min="35" max="35" width="11.625" style="1" customWidth="1"/>
    <col min="36" max="36" width="21.625" style="1" customWidth="1"/>
    <col min="37" max="37" width="17.25" style="1" customWidth="1"/>
    <col min="38" max="38" width="13.5" style="1" customWidth="1"/>
    <col min="39" max="39" width="12.875" style="1" customWidth="1"/>
    <col min="40" max="42" width="21.625" style="1" customWidth="1"/>
    <col min="43" max="43" width="19.375" style="1" customWidth="1"/>
    <col min="44" max="45" width="20.25" style="1" customWidth="1"/>
    <col min="46" max="47" width="23" style="1" customWidth="1"/>
    <col min="48" max="48" width="14" style="1" customWidth="1"/>
    <col min="49" max="16384" width="9" style="1"/>
  </cols>
  <sheetData>
    <row r="1" spans="1:4">
      <c r="A1" s="2"/>
      <c r="B1" s="3"/>
    </row>
    <row r="2" spans="1:4">
      <c r="A2" s="4" t="s">
        <v>199</v>
      </c>
      <c r="B2" s="5">
        <v>2048</v>
      </c>
    </row>
    <row r="3" spans="1:4">
      <c r="A3" s="4" t="s">
        <v>201</v>
      </c>
      <c r="B3" s="5">
        <v>1200</v>
      </c>
    </row>
    <row r="4" spans="1:4">
      <c r="A4" s="2" t="s">
        <v>203</v>
      </c>
      <c r="B4" s="6">
        <v>2048</v>
      </c>
      <c r="C4"/>
      <c r="D4" s="7"/>
    </row>
    <row r="5" spans="1:4">
      <c r="A5" s="2" t="s">
        <v>205</v>
      </c>
      <c r="B5" s="6">
        <v>1200</v>
      </c>
    </row>
    <row r="6" spans="1:4">
      <c r="A6" s="2" t="s">
        <v>215</v>
      </c>
      <c r="B6" s="6">
        <v>10000</v>
      </c>
    </row>
    <row r="7" spans="1:4">
      <c r="A7" s="2" t="s">
        <v>219</v>
      </c>
      <c r="B7" s="6">
        <v>8</v>
      </c>
    </row>
    <row r="8" spans="1:4">
      <c r="A8" s="2" t="s">
        <v>221</v>
      </c>
      <c r="B8" s="6">
        <v>1500</v>
      </c>
    </row>
    <row r="9" spans="1:4">
      <c r="A9" s="2" t="s">
        <v>223</v>
      </c>
      <c r="B9" s="6">
        <v>0</v>
      </c>
    </row>
    <row r="10" spans="1:4">
      <c r="A10" s="2" t="s">
        <v>225</v>
      </c>
      <c r="B10" s="8">
        <f>L42</f>
        <v>180000</v>
      </c>
    </row>
    <row r="11" spans="1:4">
      <c r="A11" s="2" t="s">
        <v>227</v>
      </c>
      <c r="B11" s="6">
        <v>43.5</v>
      </c>
    </row>
    <row r="12" spans="1:4">
      <c r="A12" s="2" t="s">
        <v>229</v>
      </c>
      <c r="B12" s="6">
        <v>0</v>
      </c>
      <c r="D12" s="9"/>
    </row>
    <row r="13" spans="1:4">
      <c r="A13" s="2" t="s">
        <v>231</v>
      </c>
      <c r="B13" s="8">
        <f>F46</f>
        <v>1000</v>
      </c>
    </row>
    <row r="14" spans="1:4">
      <c r="A14" s="2" t="s">
        <v>233</v>
      </c>
      <c r="B14" s="6">
        <v>10</v>
      </c>
    </row>
    <row r="15" spans="1:4">
      <c r="A15" s="2" t="s">
        <v>235</v>
      </c>
      <c r="B15" s="8">
        <f>L44</f>
        <v>99</v>
      </c>
    </row>
    <row r="16" spans="1:4">
      <c r="A16" s="4" t="s">
        <v>281</v>
      </c>
      <c r="B16" s="10">
        <v>0</v>
      </c>
    </row>
    <row r="17" spans="1:48">
      <c r="A17" s="2"/>
      <c r="B17" s="11"/>
    </row>
    <row r="18" spans="1:48" ht="14.25">
      <c r="A18" s="12"/>
      <c r="B18" s="13"/>
    </row>
    <row r="19" spans="1:48" ht="14.25">
      <c r="A19" s="12" t="s">
        <v>273</v>
      </c>
      <c r="B19" s="14">
        <f>L26</f>
        <v>43.554006968641112</v>
      </c>
    </row>
    <row r="20" spans="1:48" hidden="1">
      <c r="A20" s="1"/>
      <c r="B20" s="1"/>
    </row>
    <row r="21" spans="1:48" ht="27.75" hidden="1" customHeight="1">
      <c r="A21" s="1"/>
      <c r="B21" s="1"/>
      <c r="C21" s="15" t="s">
        <v>430</v>
      </c>
      <c r="D21" s="15" t="s">
        <v>431</v>
      </c>
      <c r="E21" s="16" t="s">
        <v>1223</v>
      </c>
      <c r="F21" s="17"/>
      <c r="G21" s="17"/>
      <c r="H21" s="17"/>
      <c r="I21" s="700" t="s">
        <v>435</v>
      </c>
      <c r="J21" s="701"/>
      <c r="K21" s="701"/>
      <c r="L21" s="701"/>
      <c r="M21" s="702"/>
      <c r="N21" s="37"/>
      <c r="O21" s="700" t="s">
        <v>656</v>
      </c>
      <c r="P21" s="701"/>
      <c r="Q21" s="701"/>
      <c r="R21" s="701"/>
      <c r="S21" s="702"/>
      <c r="T21" s="37"/>
      <c r="U21" s="700" t="s">
        <v>657</v>
      </c>
      <c r="V21" s="701"/>
      <c r="W21" s="701"/>
      <c r="X21" s="701"/>
      <c r="Y21" s="701"/>
      <c r="Z21" s="701"/>
      <c r="AA21" s="701"/>
      <c r="AB21" s="701"/>
      <c r="AC21" s="701"/>
      <c r="AD21" s="701"/>
      <c r="AE21" s="701"/>
      <c r="AF21" s="701"/>
      <c r="AG21" s="701"/>
      <c r="AH21" s="701"/>
      <c r="AI21" s="701"/>
      <c r="AJ21" s="701"/>
      <c r="AK21" s="701"/>
      <c r="AL21" s="701"/>
      <c r="AM21" s="701"/>
      <c r="AN21" s="701"/>
      <c r="AO21" s="701"/>
      <c r="AP21" s="701"/>
      <c r="AQ21" s="701"/>
      <c r="AR21" s="701"/>
      <c r="AS21" s="701"/>
      <c r="AT21" s="702"/>
      <c r="AU21" s="84"/>
      <c r="AV21" s="85"/>
    </row>
    <row r="22" spans="1:48" ht="27" hidden="1">
      <c r="A22" s="1"/>
      <c r="B22" s="1"/>
      <c r="C22" s="15" t="s">
        <v>652</v>
      </c>
      <c r="D22" s="15" t="s">
        <v>653</v>
      </c>
      <c r="E22" s="16" t="s">
        <v>1224</v>
      </c>
      <c r="F22" s="17"/>
      <c r="G22" s="17"/>
      <c r="H22" s="17"/>
      <c r="I22" s="690" t="s">
        <v>252</v>
      </c>
      <c r="J22" s="691"/>
      <c r="K22" s="691"/>
      <c r="L22" s="691"/>
      <c r="M22" s="692"/>
      <c r="N22" s="37"/>
      <c r="O22" s="690" t="s">
        <v>1127</v>
      </c>
      <c r="P22" s="691"/>
      <c r="Q22" s="691"/>
      <c r="R22" s="691"/>
      <c r="S22" s="692"/>
      <c r="T22" s="37"/>
      <c r="U22" s="18" t="s">
        <v>660</v>
      </c>
      <c r="V22" s="19" t="s">
        <v>661</v>
      </c>
      <c r="W22" s="19" t="s">
        <v>1128</v>
      </c>
      <c r="X22" s="19" t="s">
        <v>1129</v>
      </c>
      <c r="Y22" s="19" t="s">
        <v>664</v>
      </c>
      <c r="Z22" s="19" t="s">
        <v>665</v>
      </c>
      <c r="AA22" s="19" t="s">
        <v>1067</v>
      </c>
      <c r="AB22" s="19" t="s">
        <v>1068</v>
      </c>
      <c r="AC22" s="19" t="s">
        <v>1069</v>
      </c>
      <c r="AD22" s="19" t="s">
        <v>1070</v>
      </c>
      <c r="AE22" s="19" t="s">
        <v>1071</v>
      </c>
      <c r="AF22" s="19" t="s">
        <v>1072</v>
      </c>
      <c r="AG22" s="19" t="s">
        <v>1202</v>
      </c>
      <c r="AH22" s="19" t="s">
        <v>1131</v>
      </c>
      <c r="AI22" s="19" t="s">
        <v>1132</v>
      </c>
      <c r="AJ22" s="19" t="s">
        <v>1133</v>
      </c>
      <c r="AK22" s="19" t="s">
        <v>1134</v>
      </c>
      <c r="AL22" s="19" t="s">
        <v>1135</v>
      </c>
      <c r="AM22" s="19" t="s">
        <v>1136</v>
      </c>
      <c r="AN22" s="19" t="s">
        <v>1137</v>
      </c>
      <c r="AO22" s="19" t="s">
        <v>1138</v>
      </c>
      <c r="AP22" s="19" t="s">
        <v>1139</v>
      </c>
      <c r="AQ22" s="19" t="s">
        <v>1140</v>
      </c>
      <c r="AR22" s="19" t="s">
        <v>1141</v>
      </c>
      <c r="AS22" s="19" t="s">
        <v>1142</v>
      </c>
      <c r="AT22" s="86" t="s">
        <v>1211</v>
      </c>
      <c r="AU22" s="86" t="s">
        <v>1225</v>
      </c>
      <c r="AV22" s="20" t="s">
        <v>652</v>
      </c>
    </row>
    <row r="23" spans="1:48" ht="27" hidden="1">
      <c r="A23" s="1"/>
      <c r="B23" s="1"/>
      <c r="C23" s="700" t="s">
        <v>658</v>
      </c>
      <c r="D23" s="701"/>
      <c r="E23" s="701"/>
      <c r="F23" s="701"/>
      <c r="G23" s="702"/>
      <c r="H23" s="17"/>
      <c r="I23" s="38" t="s">
        <v>444</v>
      </c>
      <c r="J23" s="39" t="s">
        <v>438</v>
      </c>
      <c r="K23" s="39" t="s">
        <v>447</v>
      </c>
      <c r="L23" s="39" t="s">
        <v>448</v>
      </c>
      <c r="M23" s="40" t="s">
        <v>449</v>
      </c>
      <c r="N23" s="37"/>
      <c r="O23" s="18" t="s">
        <v>444</v>
      </c>
      <c r="P23" s="19" t="s">
        <v>438</v>
      </c>
      <c r="Q23" s="19" t="s">
        <v>447</v>
      </c>
      <c r="R23" s="19" t="s">
        <v>688</v>
      </c>
      <c r="S23" s="56" t="s">
        <v>449</v>
      </c>
      <c r="T23" s="37"/>
      <c r="U23" s="57" t="s">
        <v>1223</v>
      </c>
      <c r="V23" s="58" t="s">
        <v>1226</v>
      </c>
      <c r="W23" s="58">
        <v>50</v>
      </c>
      <c r="X23" s="58">
        <v>50</v>
      </c>
      <c r="Y23" s="58">
        <v>1</v>
      </c>
      <c r="Z23" s="58">
        <v>4</v>
      </c>
      <c r="AA23" s="58">
        <v>16</v>
      </c>
      <c r="AB23" s="58">
        <v>8</v>
      </c>
      <c r="AC23" s="77">
        <v>2080</v>
      </c>
      <c r="AD23" s="77">
        <v>1</v>
      </c>
      <c r="AE23" s="77">
        <v>2080</v>
      </c>
      <c r="AF23" s="77">
        <v>1216</v>
      </c>
      <c r="AG23" s="82">
        <f>ROUNDUP(23*$L$24+3.8,0)</f>
        <v>252084</v>
      </c>
      <c r="AH23" s="83">
        <f>IF(F26=8,548,1096)</f>
        <v>548</v>
      </c>
      <c r="AI23" s="82">
        <v>1</v>
      </c>
      <c r="AJ23" s="82">
        <v>3</v>
      </c>
      <c r="AK23" s="82">
        <v>245</v>
      </c>
      <c r="AL23" s="82">
        <v>4</v>
      </c>
      <c r="AM23" s="82">
        <v>6</v>
      </c>
      <c r="AN23" s="77">
        <v>1</v>
      </c>
      <c r="AO23" s="77" t="s">
        <v>692</v>
      </c>
      <c r="AP23" s="77">
        <v>10000</v>
      </c>
      <c r="AQ23" s="82">
        <v>2048</v>
      </c>
      <c r="AR23" s="82">
        <v>1200</v>
      </c>
      <c r="AS23" s="87">
        <v>43.55</v>
      </c>
      <c r="AT23" s="83">
        <v>0</v>
      </c>
      <c r="AU23" s="58">
        <v>18</v>
      </c>
      <c r="AV23" s="88" t="s">
        <v>1224</v>
      </c>
    </row>
    <row r="24" spans="1:48" ht="27" hidden="1">
      <c r="A24" s="1"/>
      <c r="B24" s="1"/>
      <c r="C24" s="18" t="s">
        <v>444</v>
      </c>
      <c r="D24" s="19" t="s">
        <v>438</v>
      </c>
      <c r="E24" s="19" t="s">
        <v>445</v>
      </c>
      <c r="F24" s="19" t="s">
        <v>442</v>
      </c>
      <c r="G24" s="20" t="s">
        <v>449</v>
      </c>
      <c r="H24" s="17"/>
      <c r="I24" s="21" t="s">
        <v>321</v>
      </c>
      <c r="J24" s="22" t="s">
        <v>320</v>
      </c>
      <c r="K24" s="26" t="s">
        <v>1144</v>
      </c>
      <c r="L24" s="41">
        <f>ROUNDUP(1000*R27*R25/R24,0)</f>
        <v>10960</v>
      </c>
      <c r="M24" s="42" t="s">
        <v>461</v>
      </c>
      <c r="N24" s="37"/>
      <c r="O24" s="21" t="s">
        <v>288</v>
      </c>
      <c r="P24" s="22" t="s">
        <v>287</v>
      </c>
      <c r="Q24" s="22" t="s">
        <v>1145</v>
      </c>
      <c r="R24" s="45">
        <f>VLOOKUP($E$21,$U$23:$AT$28,4,FALSE)</f>
        <v>50</v>
      </c>
      <c r="S24" s="42" t="s">
        <v>626</v>
      </c>
      <c r="T24" s="37"/>
      <c r="U24" s="59"/>
      <c r="V24" s="59"/>
      <c r="W24" s="59"/>
      <c r="X24" s="59"/>
      <c r="Y24" s="59"/>
      <c r="Z24" s="59"/>
      <c r="AA24" s="78"/>
      <c r="AB24" s="59"/>
    </row>
    <row r="25" spans="1:48" ht="162" hidden="1">
      <c r="A25" s="1"/>
      <c r="B25" s="1"/>
      <c r="C25" s="690" t="s">
        <v>218</v>
      </c>
      <c r="D25" s="691"/>
      <c r="E25" s="691"/>
      <c r="F25" s="691"/>
      <c r="G25" s="692"/>
      <c r="H25" s="17"/>
      <c r="I25" s="29" t="s">
        <v>1147</v>
      </c>
      <c r="J25" s="22" t="s">
        <v>251</v>
      </c>
      <c r="K25" s="26" t="s">
        <v>1227</v>
      </c>
      <c r="L25" s="41">
        <f>IF(F34=0,MAX(L28,L29,L30,L31)+L36,IF(F35="HighSpeed",IF(F28="TriggerWidth",MAX(L28,L46,L30),MAX(L28,L29,L30)+L36),IF(F28="TriggerWidth",MAX(L28,L46,L30,R67),MAX(L28,L29,L30,R67)+L36)))</f>
        <v>22960</v>
      </c>
      <c r="M25" s="42" t="s">
        <v>478</v>
      </c>
      <c r="O25" s="21" t="s">
        <v>1149</v>
      </c>
      <c r="P25" s="22" t="s">
        <v>1149</v>
      </c>
      <c r="Q25" s="22" t="s">
        <v>1145</v>
      </c>
      <c r="R25" s="45">
        <f>VLOOKUP($E$21,$U$23:$AT$28,14,FALSE)</f>
        <v>548</v>
      </c>
      <c r="S25" s="42" t="s">
        <v>704</v>
      </c>
      <c r="U25" s="59"/>
      <c r="V25" s="59"/>
      <c r="W25" s="59"/>
      <c r="X25" s="59"/>
      <c r="Y25" s="59"/>
      <c r="Z25" s="59"/>
      <c r="AA25" s="79"/>
      <c r="AB25" s="79"/>
    </row>
    <row r="26" spans="1:48" hidden="1">
      <c r="A26" s="1"/>
      <c r="B26" s="1"/>
      <c r="C26" s="21" t="s">
        <v>1146</v>
      </c>
      <c r="D26" s="22" t="s">
        <v>218</v>
      </c>
      <c r="E26" s="22">
        <v>8</v>
      </c>
      <c r="F26" s="23">
        <f>B7</f>
        <v>8</v>
      </c>
      <c r="G26" s="24" t="s">
        <v>594</v>
      </c>
      <c r="H26" s="17"/>
      <c r="I26" s="21" t="s">
        <v>1150</v>
      </c>
      <c r="J26" s="22" t="s">
        <v>252</v>
      </c>
      <c r="K26" s="26" t="s">
        <v>1151</v>
      </c>
      <c r="L26" s="43">
        <f>1000000/L25</f>
        <v>43.554006968641112</v>
      </c>
      <c r="M26" s="42" t="s">
        <v>488</v>
      </c>
      <c r="O26" s="21" t="s">
        <v>1152</v>
      </c>
      <c r="P26" s="22" t="s">
        <v>299</v>
      </c>
      <c r="Q26" s="22" t="s">
        <v>1145</v>
      </c>
      <c r="R26" s="45">
        <f>VLOOKUP($E$21,$U$23:$AT$28,13,FALSE)</f>
        <v>252084</v>
      </c>
      <c r="S26" s="42" t="s">
        <v>461</v>
      </c>
      <c r="U26" s="59"/>
      <c r="V26" s="59"/>
      <c r="W26" s="59"/>
      <c r="X26" s="59"/>
      <c r="Y26" s="59"/>
      <c r="Z26" s="59"/>
      <c r="AA26" s="79"/>
      <c r="AB26" s="79"/>
    </row>
    <row r="27" spans="1:48" hidden="1">
      <c r="A27" s="1"/>
      <c r="B27" s="1"/>
      <c r="C27" s="690" t="s">
        <v>214</v>
      </c>
      <c r="D27" s="691"/>
      <c r="E27" s="691"/>
      <c r="F27" s="691"/>
      <c r="G27" s="692"/>
      <c r="H27" s="17"/>
      <c r="I27" s="690" t="s">
        <v>510</v>
      </c>
      <c r="J27" s="691"/>
      <c r="K27" s="691"/>
      <c r="L27" s="691"/>
      <c r="M27" s="692"/>
      <c r="O27" s="21" t="s">
        <v>1153</v>
      </c>
      <c r="P27" s="22" t="s">
        <v>1154</v>
      </c>
      <c r="Q27" s="22" t="s">
        <v>1145</v>
      </c>
      <c r="R27" s="45">
        <f>VLOOKUP($E$21,$U$23:$AT$28,15,FALSE)</f>
        <v>1</v>
      </c>
      <c r="S27" s="42" t="s">
        <v>594</v>
      </c>
      <c r="U27" s="59"/>
      <c r="V27" s="59"/>
      <c r="W27" s="59"/>
      <c r="X27" s="59"/>
      <c r="Y27" s="59"/>
      <c r="Z27" s="59"/>
      <c r="AA27" s="79"/>
      <c r="AB27" s="79"/>
    </row>
    <row r="28" spans="1:48" ht="27" hidden="1">
      <c r="A28" s="1"/>
      <c r="B28" s="1"/>
      <c r="C28" s="25" t="s">
        <v>706</v>
      </c>
      <c r="D28" s="26" t="s">
        <v>705</v>
      </c>
      <c r="E28" s="26" t="s">
        <v>707</v>
      </c>
      <c r="F28" s="23" t="s">
        <v>707</v>
      </c>
      <c r="G28" s="27" t="s">
        <v>594</v>
      </c>
      <c r="H28" s="17"/>
      <c r="I28" s="21" t="s">
        <v>516</v>
      </c>
      <c r="J28" s="22" t="s">
        <v>517</v>
      </c>
      <c r="K28" s="26" t="s">
        <v>1228</v>
      </c>
      <c r="L28" s="41">
        <f>ROUNDUP(((F42*F58+R28+R33+R34)*L24+R26)/1000,0)</f>
        <v>13679</v>
      </c>
      <c r="M28" s="44" t="s">
        <v>478</v>
      </c>
      <c r="O28" s="21" t="s">
        <v>629</v>
      </c>
      <c r="P28" s="22" t="s">
        <v>630</v>
      </c>
      <c r="Q28" s="22" t="s">
        <v>1145</v>
      </c>
      <c r="R28" s="45">
        <f>VLOOKUP($E$21,$U$23:$AT$28,19,FALSE)</f>
        <v>6</v>
      </c>
      <c r="S28" s="42" t="s">
        <v>469</v>
      </c>
    </row>
    <row r="29" spans="1:48" ht="40.5" hidden="1">
      <c r="A29" s="1"/>
      <c r="B29" s="1"/>
      <c r="C29" s="25" t="s">
        <v>710</v>
      </c>
      <c r="D29" s="26" t="str">
        <f>"交叠曝光时间
(0-"&amp;INT((F42*F58+R28+R33+R34)*L24/1000)&amp;")"</f>
        <v>交叠曝光时间
(0-13426)</v>
      </c>
      <c r="E29" s="26">
        <f>INT((VLOOKUP($E$21,$U$23:$AV$28,24,FALSE)+VLOOKUP($E$21,$U$23:$AV$28,19,FALSE)+VLOOKUP($E$21,$U$23:$AV$28,20,FALSE)+VLOOKUP($E$21,$U$23:$AV$28,27,FALSE))*ROUNDUP(1000*VLOOKUP($E$21,$U$23:$AV$28,15,FALSE)*VLOOKUP($E$21,$U$23:$AV$28,14,FALSE)/VLOOKUP($E$21,$U$23:$AV$28,4,FALSE),0)/1000)</f>
        <v>13426</v>
      </c>
      <c r="F29" s="23">
        <v>13426</v>
      </c>
      <c r="G29" s="28" t="s">
        <v>478</v>
      </c>
      <c r="H29" s="17"/>
      <c r="I29" s="21" t="s">
        <v>522</v>
      </c>
      <c r="J29" s="22" t="s">
        <v>523</v>
      </c>
      <c r="K29" s="26" t="s">
        <v>1156</v>
      </c>
      <c r="L29" s="41">
        <f>ROUNDUP(F30-R30/R24+R29*L24/1000+F31+R26/1000,0)</f>
        <v>10281</v>
      </c>
      <c r="M29" s="44" t="s">
        <v>478</v>
      </c>
      <c r="O29" s="21" t="s">
        <v>1157</v>
      </c>
      <c r="P29" s="22" t="s">
        <v>1158</v>
      </c>
      <c r="Q29" s="22" t="s">
        <v>1145</v>
      </c>
      <c r="R29" s="45">
        <f>VLOOKUP($E$21,$U$23:$AT$28,16,FALSE)</f>
        <v>3</v>
      </c>
      <c r="S29" s="42" t="s">
        <v>469</v>
      </c>
    </row>
    <row r="30" spans="1:48" ht="27" hidden="1">
      <c r="A30" s="1"/>
      <c r="B30" s="1"/>
      <c r="C30" s="21" t="s">
        <v>805</v>
      </c>
      <c r="D30" s="22" t="s">
        <v>214</v>
      </c>
      <c r="E30" s="22">
        <f>VLOOKUP($E$21,$U$23:$AT$28,22,FALSE)</f>
        <v>10000</v>
      </c>
      <c r="F30" s="23">
        <f>B6</f>
        <v>10000</v>
      </c>
      <c r="G30" s="28" t="s">
        <v>478</v>
      </c>
      <c r="H30" s="17"/>
      <c r="I30" s="21" t="s">
        <v>534</v>
      </c>
      <c r="J30" s="22" t="s">
        <v>535</v>
      </c>
      <c r="K30" s="22" t="s">
        <v>1160</v>
      </c>
      <c r="L30" s="45">
        <f>ROUNDUP((1000000/F52)*F51,0)</f>
        <v>0</v>
      </c>
      <c r="M30" s="42" t="s">
        <v>478</v>
      </c>
      <c r="O30" s="21" t="s">
        <v>1161</v>
      </c>
      <c r="P30" s="22" t="s">
        <v>1162</v>
      </c>
      <c r="Q30" s="22" t="s">
        <v>1145</v>
      </c>
      <c r="R30" s="45">
        <f>VLOOKUP($E$21,$U$23:$AT$28,17,FALSE)</f>
        <v>245</v>
      </c>
      <c r="S30" s="42" t="s">
        <v>1163</v>
      </c>
    </row>
    <row r="31" spans="1:48" ht="27" hidden="1">
      <c r="A31" s="1"/>
      <c r="B31" s="1"/>
      <c r="C31" s="21" t="s">
        <v>800</v>
      </c>
      <c r="D31" s="22" t="s">
        <v>216</v>
      </c>
      <c r="E31" s="22">
        <v>0</v>
      </c>
      <c r="F31" s="23">
        <v>0</v>
      </c>
      <c r="G31" s="28" t="s">
        <v>478</v>
      </c>
      <c r="H31" s="17"/>
      <c r="I31" s="29" t="s">
        <v>540</v>
      </c>
      <c r="J31" s="26" t="s">
        <v>417</v>
      </c>
      <c r="K31" s="26" t="s">
        <v>1229</v>
      </c>
      <c r="L31" s="45">
        <f>R65</f>
        <v>22960</v>
      </c>
      <c r="M31" s="42" t="s">
        <v>478</v>
      </c>
      <c r="O31" s="21" t="s">
        <v>1164</v>
      </c>
      <c r="P31" s="22" t="s">
        <v>1165</v>
      </c>
      <c r="Q31" s="22" t="s">
        <v>1145</v>
      </c>
      <c r="R31" s="45">
        <f>VLOOKUP($E$21,$U$23:$AT$28,18,FALSE)</f>
        <v>4</v>
      </c>
      <c r="S31" s="42" t="s">
        <v>469</v>
      </c>
    </row>
    <row r="32" spans="1:48" ht="108" hidden="1">
      <c r="A32" s="1"/>
      <c r="B32" s="1"/>
      <c r="C32" s="25" t="s">
        <v>728</v>
      </c>
      <c r="D32" s="22" t="s">
        <v>727</v>
      </c>
      <c r="E32" s="22" t="s">
        <v>594</v>
      </c>
      <c r="F32" s="23">
        <v>1000</v>
      </c>
      <c r="G32" s="28" t="s">
        <v>478</v>
      </c>
      <c r="H32" s="17"/>
      <c r="I32" s="690" t="s">
        <v>729</v>
      </c>
      <c r="J32" s="691"/>
      <c r="K32" s="691"/>
      <c r="L32" s="691"/>
      <c r="M32" s="692"/>
      <c r="O32" s="21" t="s">
        <v>1212</v>
      </c>
      <c r="P32" s="22" t="s">
        <v>1213</v>
      </c>
      <c r="Q32" s="22" t="s">
        <v>1145</v>
      </c>
      <c r="R32" s="45">
        <f>VLOOKUP($E$21,$U$23:$AT$28,26,FALSE)</f>
        <v>0</v>
      </c>
      <c r="S32" s="685" t="s">
        <v>594</v>
      </c>
    </row>
    <row r="33" spans="3:25" s="1" customFormat="1" ht="27" hidden="1">
      <c r="C33" s="696" t="s">
        <v>280</v>
      </c>
      <c r="D33" s="691"/>
      <c r="E33" s="691"/>
      <c r="F33" s="691"/>
      <c r="G33" s="692"/>
      <c r="H33" s="17"/>
      <c r="I33" s="25" t="s">
        <v>805</v>
      </c>
      <c r="J33" s="26" t="s">
        <v>737</v>
      </c>
      <c r="K33" s="26" t="s">
        <v>1169</v>
      </c>
      <c r="L33" s="41">
        <f>ROUNDUP((1000*F30-1000*R30/R24)/1000,0)</f>
        <v>9996</v>
      </c>
      <c r="M33" s="44" t="s">
        <v>478</v>
      </c>
      <c r="O33" s="21" t="s">
        <v>1166</v>
      </c>
      <c r="P33" s="22" t="s">
        <v>1167</v>
      </c>
      <c r="Q33" s="22" t="s">
        <v>1145</v>
      </c>
      <c r="R33" s="45">
        <f>VLOOKUP($E$21,$U$23:$AT$28,20,FALSE)</f>
        <v>1</v>
      </c>
      <c r="S33" s="42" t="s">
        <v>469</v>
      </c>
    </row>
    <row r="34" spans="3:25" s="1" customFormat="1" ht="27" hidden="1">
      <c r="C34" s="25" t="s">
        <v>428</v>
      </c>
      <c r="D34" s="22" t="s">
        <v>280</v>
      </c>
      <c r="E34" s="22">
        <v>0</v>
      </c>
      <c r="F34" s="23">
        <f>B16</f>
        <v>0</v>
      </c>
      <c r="G34" s="28" t="s">
        <v>594</v>
      </c>
      <c r="H34" s="17"/>
      <c r="I34" s="25" t="s">
        <v>1170</v>
      </c>
      <c r="J34" s="26" t="s">
        <v>743</v>
      </c>
      <c r="K34" s="26" t="s">
        <v>484</v>
      </c>
      <c r="L34" s="41">
        <f>F31</f>
        <v>0</v>
      </c>
      <c r="M34" s="46" t="s">
        <v>469</v>
      </c>
      <c r="O34" s="21" t="s">
        <v>1230</v>
      </c>
      <c r="P34" s="22" t="s">
        <v>1231</v>
      </c>
      <c r="Q34" s="22" t="s">
        <v>1145</v>
      </c>
      <c r="R34" s="45">
        <f>VLOOKUP($E$21,$U$23:$AU$28,27,FALSE)</f>
        <v>18</v>
      </c>
      <c r="S34" s="42" t="s">
        <v>469</v>
      </c>
      <c r="T34" s="37"/>
      <c r="U34" s="697" t="s">
        <v>531</v>
      </c>
      <c r="V34" s="698"/>
      <c r="W34" s="698"/>
      <c r="X34" s="698"/>
      <c r="Y34" s="699"/>
    </row>
    <row r="35" spans="3:25" s="1" customFormat="1" ht="94.5" hidden="1">
      <c r="C35" s="29" t="s">
        <v>742</v>
      </c>
      <c r="D35" s="22" t="s">
        <v>741</v>
      </c>
      <c r="E35" s="22" t="s">
        <v>716</v>
      </c>
      <c r="F35" s="23" t="s">
        <v>716</v>
      </c>
      <c r="G35" s="28"/>
      <c r="H35" s="17"/>
      <c r="I35" s="25" t="s">
        <v>1171</v>
      </c>
      <c r="J35" s="26" t="s">
        <v>1172</v>
      </c>
      <c r="K35" s="26" t="s">
        <v>1232</v>
      </c>
      <c r="L35" s="41">
        <f>IF(R32=1,IF((F34=1)*(F28="TriggerWidth"),IF((F29&lt;=ROUNDUP(L24*6/1000,0))*(F29&gt;0),1,0),IF((MAX(L28,L29,L30,L31)-L33)&lt;L28,(IF((MAX(L28,L29,L30,L31)-L33)&gt;=(L28-ROUNDUP(6*L24/1000,0)),1,0)),0)),0)</f>
        <v>0</v>
      </c>
      <c r="M35" s="46" t="s">
        <v>594</v>
      </c>
      <c r="O35" s="690" t="s">
        <v>799</v>
      </c>
      <c r="P35" s="691"/>
      <c r="Q35" s="691"/>
      <c r="R35" s="691"/>
      <c r="S35" s="692"/>
      <c r="T35" s="37"/>
      <c r="U35" s="18" t="s">
        <v>1177</v>
      </c>
      <c r="V35" s="19" t="s">
        <v>1178</v>
      </c>
      <c r="W35" s="19" t="s">
        <v>438</v>
      </c>
      <c r="X35" s="19" t="s">
        <v>447</v>
      </c>
      <c r="Y35" s="20" t="s">
        <v>777</v>
      </c>
    </row>
    <row r="36" spans="3:25" s="1" customFormat="1" ht="54" hidden="1">
      <c r="C36" s="690" t="s">
        <v>747</v>
      </c>
      <c r="D36" s="691"/>
      <c r="E36" s="691"/>
      <c r="F36" s="691"/>
      <c r="G36" s="692"/>
      <c r="H36" s="17"/>
      <c r="I36" s="25" t="s">
        <v>1174</v>
      </c>
      <c r="J36" s="26" t="s">
        <v>1175</v>
      </c>
      <c r="K36" s="26" t="s">
        <v>1233</v>
      </c>
      <c r="L36" s="41">
        <f>IF(L35=1,IF((F34=1)*(F28="TriggerWidth"),F29,L28-(MAX(L28,L29,L30,L31)-L33)),0)</f>
        <v>0</v>
      </c>
      <c r="M36" s="46" t="s">
        <v>478</v>
      </c>
      <c r="O36" s="18" t="s">
        <v>444</v>
      </c>
      <c r="P36" s="19" t="s">
        <v>438</v>
      </c>
      <c r="Q36" s="19" t="s">
        <v>447</v>
      </c>
      <c r="R36" s="19" t="s">
        <v>688</v>
      </c>
      <c r="S36" s="56" t="s">
        <v>449</v>
      </c>
      <c r="T36" s="37"/>
      <c r="U36" s="60" t="s">
        <v>1179</v>
      </c>
      <c r="V36" s="26" t="str">
        <f>IF(E22="A7","0x01001004","0x77601654")</f>
        <v>0x01001004</v>
      </c>
      <c r="W36" s="61" t="s">
        <v>1180</v>
      </c>
      <c r="X36" s="22" t="s">
        <v>800</v>
      </c>
      <c r="Y36" s="27" t="str">
        <f>DEC2HEX(L34)</f>
        <v>0</v>
      </c>
    </row>
    <row r="37" spans="3:25" s="1" customFormat="1" ht="27" hidden="1">
      <c r="C37" s="21" t="s">
        <v>1159</v>
      </c>
      <c r="D37" s="22" t="s">
        <v>503</v>
      </c>
      <c r="E37" s="22">
        <v>0</v>
      </c>
      <c r="F37" s="23">
        <v>0</v>
      </c>
      <c r="G37" s="24" t="s">
        <v>478</v>
      </c>
      <c r="H37" s="17"/>
      <c r="I37" s="690" t="s">
        <v>366</v>
      </c>
      <c r="J37" s="691"/>
      <c r="K37" s="691"/>
      <c r="L37" s="691"/>
      <c r="M37" s="692"/>
      <c r="O37" s="21" t="s">
        <v>386</v>
      </c>
      <c r="P37" s="22" t="s">
        <v>452</v>
      </c>
      <c r="Q37" s="22" t="s">
        <v>453</v>
      </c>
      <c r="R37" s="45">
        <v>7</v>
      </c>
      <c r="S37" s="42" t="s">
        <v>454</v>
      </c>
      <c r="U37" s="62" t="s">
        <v>1182</v>
      </c>
      <c r="V37" s="26" t="str">
        <f>IF(E22="A7","0x01001008","0x77601658")</f>
        <v>0x01001008</v>
      </c>
      <c r="W37" s="61" t="s">
        <v>1183</v>
      </c>
      <c r="X37" s="22" t="s">
        <v>805</v>
      </c>
      <c r="Y37" s="80" t="str">
        <f>DEC2HEX(L33)</f>
        <v>270C</v>
      </c>
    </row>
    <row r="38" spans="3:25" s="1" customFormat="1" ht="40.5" hidden="1">
      <c r="C38" s="690" t="s">
        <v>753</v>
      </c>
      <c r="D38" s="691"/>
      <c r="E38" s="691"/>
      <c r="F38" s="691"/>
      <c r="G38" s="692"/>
      <c r="H38" s="17"/>
      <c r="I38" s="25" t="s">
        <v>400</v>
      </c>
      <c r="J38" s="26" t="s">
        <v>762</v>
      </c>
      <c r="K38" s="26" t="s">
        <v>763</v>
      </c>
      <c r="L38" s="47">
        <f>L26*R54</f>
        <v>107038327.52613239</v>
      </c>
      <c r="M38" s="27" t="s">
        <v>764</v>
      </c>
      <c r="O38" s="21" t="s">
        <v>387</v>
      </c>
      <c r="P38" s="22" t="s">
        <v>462</v>
      </c>
      <c r="Q38" s="22" t="s">
        <v>463</v>
      </c>
      <c r="R38" s="45">
        <v>1</v>
      </c>
      <c r="S38" s="42" t="s">
        <v>454</v>
      </c>
      <c r="U38" s="62" t="s">
        <v>1184</v>
      </c>
      <c r="V38" s="26" t="str">
        <f>IF(E22="A7","0x01001010","0x7760165c")</f>
        <v>0x01001010</v>
      </c>
      <c r="W38" s="61" t="s">
        <v>1185</v>
      </c>
      <c r="X38" s="22" t="s">
        <v>1147</v>
      </c>
      <c r="Y38" s="80" t="str">
        <f>DEC2HEX(MAX(L28,L29,L30,L31))</f>
        <v>59B0</v>
      </c>
    </row>
    <row r="39" spans="3:25" s="1" customFormat="1" ht="40.5" hidden="1">
      <c r="C39" s="21" t="s">
        <v>757</v>
      </c>
      <c r="D39" s="22" t="s">
        <v>758</v>
      </c>
      <c r="E39" s="22">
        <v>0</v>
      </c>
      <c r="F39" s="23">
        <v>0</v>
      </c>
      <c r="G39" s="24" t="s">
        <v>704</v>
      </c>
      <c r="I39" s="48" t="s">
        <v>401</v>
      </c>
      <c r="J39" s="49" t="s">
        <v>767</v>
      </c>
      <c r="K39" s="26" t="s">
        <v>768</v>
      </c>
      <c r="L39" s="41">
        <f>L26*R61</f>
        <v>111572212.54355399</v>
      </c>
      <c r="M39" s="27" t="s">
        <v>764</v>
      </c>
      <c r="O39" s="21" t="s">
        <v>388</v>
      </c>
      <c r="P39" s="22" t="s">
        <v>470</v>
      </c>
      <c r="Q39" s="22" t="s">
        <v>471</v>
      </c>
      <c r="R39" s="45">
        <v>14</v>
      </c>
      <c r="S39" s="42" t="s">
        <v>454</v>
      </c>
      <c r="U39" s="63" t="s">
        <v>1186</v>
      </c>
      <c r="V39" s="26" t="str">
        <f>IF(E22="A7","0x01001014","0x77601850")</f>
        <v>0x01001014</v>
      </c>
      <c r="W39" s="61" t="s">
        <v>1188</v>
      </c>
      <c r="X39" s="22" t="s">
        <v>1147</v>
      </c>
      <c r="Y39" s="80" t="str">
        <f>IF(F35="HighSpeed",IF(F28="TriggerWidth",DEC2HEX(MAX(L28,L30)),DEC2HEX(MAX(L28,L29,L30))),IF(F28="TriggerWidth",DEC2HEX(MAX(L28,L30,R67)),DEC2HEX(MAX(L28,L29,L30,R67))))</f>
        <v>50B4</v>
      </c>
    </row>
    <row r="40" spans="3:25" s="1" customFormat="1" ht="67.5" hidden="1">
      <c r="C40" s="25" t="s">
        <v>760</v>
      </c>
      <c r="D40" s="26" t="s">
        <v>761</v>
      </c>
      <c r="E40" s="26">
        <v>0</v>
      </c>
      <c r="F40" s="30">
        <v>0</v>
      </c>
      <c r="G40" s="28" t="s">
        <v>704</v>
      </c>
      <c r="I40" s="48" t="s">
        <v>402</v>
      </c>
      <c r="J40" s="49" t="s">
        <v>772</v>
      </c>
      <c r="K40" s="26" t="s">
        <v>773</v>
      </c>
      <c r="L40" s="41">
        <f>1250*F46*(100-F49)</f>
        <v>112500000</v>
      </c>
      <c r="M40" s="27" t="s">
        <v>764</v>
      </c>
      <c r="O40" s="21" t="s">
        <v>389</v>
      </c>
      <c r="P40" s="22" t="s">
        <v>479</v>
      </c>
      <c r="Q40" s="22" t="s">
        <v>480</v>
      </c>
      <c r="R40" s="45">
        <v>20</v>
      </c>
      <c r="S40" s="42" t="s">
        <v>454</v>
      </c>
      <c r="U40" s="64" t="s">
        <v>1234</v>
      </c>
      <c r="V40" s="26" t="str">
        <f>IF(E22="A7","0x01001018","待定")</f>
        <v>0x01001018</v>
      </c>
      <c r="W40" s="61" t="s">
        <v>1235</v>
      </c>
      <c r="X40" s="26" t="s">
        <v>1147</v>
      </c>
      <c r="Y40" s="80" t="str">
        <f>DEC2HEX(MAX(L28,L29))</f>
        <v>356F</v>
      </c>
    </row>
    <row r="41" spans="3:25" s="1" customFormat="1" ht="40.5" hidden="1">
      <c r="C41" s="25" t="s">
        <v>202</v>
      </c>
      <c r="D41" s="26" t="s">
        <v>203</v>
      </c>
      <c r="E41" s="26">
        <f>VLOOKUP($E$21,$U$23:$AT$28,23,FALSE)</f>
        <v>2048</v>
      </c>
      <c r="F41" s="30">
        <f>B4</f>
        <v>2048</v>
      </c>
      <c r="G41" s="28" t="s">
        <v>704</v>
      </c>
      <c r="I41" s="690" t="s">
        <v>600</v>
      </c>
      <c r="J41" s="691"/>
      <c r="K41" s="691"/>
      <c r="L41" s="691"/>
      <c r="M41" s="692"/>
      <c r="O41" s="21" t="s">
        <v>390</v>
      </c>
      <c r="P41" s="22" t="s">
        <v>489</v>
      </c>
      <c r="Q41" s="22" t="s">
        <v>490</v>
      </c>
      <c r="R41" s="45">
        <v>8</v>
      </c>
      <c r="S41" s="42" t="s">
        <v>454</v>
      </c>
      <c r="U41" s="62" t="s">
        <v>1189</v>
      </c>
      <c r="V41" s="26" t="str">
        <f>IF(E22="A7","0x0100100C","0x7760185C")</f>
        <v>0x0100100C</v>
      </c>
      <c r="W41" s="61" t="s">
        <v>1191</v>
      </c>
      <c r="X41" s="22" t="s">
        <v>516</v>
      </c>
      <c r="Y41" s="80" t="str">
        <f>DEC2HEX(L28)</f>
        <v>356F</v>
      </c>
    </row>
    <row r="42" spans="3:25" s="1" customFormat="1" ht="94.5" hidden="1">
      <c r="C42" s="25" t="s">
        <v>204</v>
      </c>
      <c r="D42" s="26" t="s">
        <v>205</v>
      </c>
      <c r="E42" s="26">
        <f>VLOOKUP($E$21,$U$23:$AT$28,24,FALSE)</f>
        <v>1200</v>
      </c>
      <c r="F42" s="30">
        <f>B5</f>
        <v>1200</v>
      </c>
      <c r="G42" s="28" t="s">
        <v>704</v>
      </c>
      <c r="I42" s="48" t="s">
        <v>403</v>
      </c>
      <c r="J42" s="50" t="s">
        <v>780</v>
      </c>
      <c r="K42" s="26" t="s">
        <v>1181</v>
      </c>
      <c r="L42" s="41">
        <f>IF(ROUNDDOWN((R64-(R59+R60+R61))/(R55+R57+2),0)&lt;180000,ROUNDDOWN((R64-(R59+R60+R61))/(R55+R57+2),0),180000)</f>
        <v>180000</v>
      </c>
      <c r="M42" s="27" t="s">
        <v>454</v>
      </c>
      <c r="O42" s="21" t="s">
        <v>391</v>
      </c>
      <c r="P42" s="22" t="s">
        <v>494</v>
      </c>
      <c r="Q42" s="22" t="s">
        <v>490</v>
      </c>
      <c r="R42" s="45">
        <v>8</v>
      </c>
      <c r="S42" s="42" t="s">
        <v>454</v>
      </c>
      <c r="U42" s="60" t="s">
        <v>1193</v>
      </c>
      <c r="V42" s="26" t="str">
        <f>IF(E22="A7","0x0100101C","0x77601860")</f>
        <v>0x0100101C</v>
      </c>
      <c r="W42" s="61" t="s">
        <v>1209</v>
      </c>
      <c r="X42" s="22" t="s">
        <v>1236</v>
      </c>
      <c r="Y42" s="27" t="str">
        <f>DEC2HEX(IF(R32=1,ROUNDUP(6*L24/1000,0),0))</f>
        <v>0</v>
      </c>
    </row>
    <row r="43" spans="3:25" s="1" customFormat="1" ht="27" hidden="1">
      <c r="C43" s="690" t="s">
        <v>571</v>
      </c>
      <c r="D43" s="691"/>
      <c r="E43" s="691"/>
      <c r="F43" s="691"/>
      <c r="G43" s="692"/>
      <c r="I43" s="690" t="s">
        <v>609</v>
      </c>
      <c r="J43" s="691"/>
      <c r="K43" s="691"/>
      <c r="L43" s="691"/>
      <c r="M43" s="692"/>
      <c r="O43" s="21" t="s">
        <v>392</v>
      </c>
      <c r="P43" s="22" t="s">
        <v>498</v>
      </c>
      <c r="Q43" s="22" t="s">
        <v>499</v>
      </c>
      <c r="R43" s="45">
        <v>4</v>
      </c>
      <c r="S43" s="42" t="s">
        <v>454</v>
      </c>
      <c r="U43" s="65" t="s">
        <v>829</v>
      </c>
      <c r="V43" s="26" t="str">
        <f>IF(E22="A7","0x01100000","0x77601500")</f>
        <v>0x01100000</v>
      </c>
      <c r="W43" s="61" t="s">
        <v>831</v>
      </c>
      <c r="X43" s="26" t="s">
        <v>594</v>
      </c>
      <c r="Y43" s="80" t="s">
        <v>832</v>
      </c>
    </row>
    <row r="44" spans="3:25" s="1" customFormat="1" ht="54" hidden="1">
      <c r="C44" s="25" t="s">
        <v>779</v>
      </c>
      <c r="D44" s="26" t="s">
        <v>372</v>
      </c>
      <c r="E44" s="31">
        <v>0</v>
      </c>
      <c r="F44" s="30">
        <v>0</v>
      </c>
      <c r="G44" s="28" t="s">
        <v>594</v>
      </c>
      <c r="I44" s="48" t="s">
        <v>404</v>
      </c>
      <c r="J44" s="50" t="s">
        <v>609</v>
      </c>
      <c r="K44" s="26" t="s">
        <v>1208</v>
      </c>
      <c r="L44" s="41">
        <f>IF((100-ROUNDDOWN(10*R63/(125000*F46),0)-1)&lt;0,0,(100-ROUNDDOWN(10*R63/(125000*F46),0)-1))</f>
        <v>99</v>
      </c>
      <c r="M44" s="27" t="s">
        <v>614</v>
      </c>
      <c r="O44" s="21" t="s">
        <v>331</v>
      </c>
      <c r="P44" s="22" t="s">
        <v>330</v>
      </c>
      <c r="Q44" s="22" t="s">
        <v>504</v>
      </c>
      <c r="R44" s="45">
        <v>12</v>
      </c>
      <c r="S44" s="42" t="s">
        <v>454</v>
      </c>
      <c r="U44" s="60" t="s">
        <v>864</v>
      </c>
      <c r="V44" s="66" t="str">
        <f>IF(E22="A7","0x01100010","0x7760147C")</f>
        <v>0x01100010</v>
      </c>
      <c r="W44" s="61" t="s">
        <v>865</v>
      </c>
      <c r="X44" s="22" t="s">
        <v>1198</v>
      </c>
      <c r="Y44" s="27" t="str">
        <f>DEC2HEX(ROUNDUP(L24*R24/1000,0)-F41/VLOOKUP($E$21,$U$23:$AT$28,5,FALSE)/VLOOKUP($E$21,$U$23:$AT$28,6,FALSE))</f>
        <v>24</v>
      </c>
    </row>
    <row r="45" spans="3:25" s="1" customFormat="1" ht="94.5" hidden="1">
      <c r="C45" s="690" t="s">
        <v>789</v>
      </c>
      <c r="D45" s="691"/>
      <c r="E45" s="691"/>
      <c r="F45" s="691"/>
      <c r="G45" s="692"/>
      <c r="I45" s="690" t="s">
        <v>1237</v>
      </c>
      <c r="J45" s="691"/>
      <c r="K45" s="691"/>
      <c r="L45" s="691"/>
      <c r="M45" s="692"/>
      <c r="O45" s="21" t="s">
        <v>341</v>
      </c>
      <c r="P45" s="26" t="s">
        <v>511</v>
      </c>
      <c r="Q45" s="22" t="s">
        <v>512</v>
      </c>
      <c r="R45" s="45">
        <f>R40+R41+R42</f>
        <v>36</v>
      </c>
      <c r="S45" s="42" t="s">
        <v>454</v>
      </c>
      <c r="U45" s="67" t="s">
        <v>1238</v>
      </c>
      <c r="V45" s="68" t="s">
        <v>1239</v>
      </c>
      <c r="W45" s="69" t="s">
        <v>1240</v>
      </c>
      <c r="X45" s="33" t="s">
        <v>795</v>
      </c>
      <c r="Y45" s="81">
        <f>IF(F28="TriggerWidth",1,0)</f>
        <v>0</v>
      </c>
    </row>
    <row r="46" spans="3:25" s="1" customFormat="1" ht="67.5" hidden="1">
      <c r="C46" s="25" t="s">
        <v>230</v>
      </c>
      <c r="D46" s="26" t="s">
        <v>796</v>
      </c>
      <c r="E46" s="31" t="s">
        <v>594</v>
      </c>
      <c r="F46" s="30">
        <v>1000</v>
      </c>
      <c r="G46" s="28" t="s">
        <v>797</v>
      </c>
      <c r="I46" s="25" t="s">
        <v>814</v>
      </c>
      <c r="J46" s="26" t="s">
        <v>815</v>
      </c>
      <c r="K46" s="51" t="s">
        <v>1241</v>
      </c>
      <c r="L46" s="41" t="str">
        <f>IF((F34=1)*(F28="TriggerWidth"),ROUNDUP(L28+MAX(F32,F29)-(F29-R29*L24/1000)*(F29&gt;ROUNDUP(L24*6/1000,0)),0),"null")</f>
        <v>null</v>
      </c>
      <c r="M46" s="27" t="s">
        <v>478</v>
      </c>
      <c r="O46" s="21" t="s">
        <v>343</v>
      </c>
      <c r="P46" s="26" t="s">
        <v>519</v>
      </c>
      <c r="Q46" s="22" t="s">
        <v>520</v>
      </c>
      <c r="R46" s="45">
        <f>R37+R38+R39+R43</f>
        <v>26</v>
      </c>
      <c r="S46" s="42" t="s">
        <v>454</v>
      </c>
      <c r="U46" s="70" t="s">
        <v>1242</v>
      </c>
      <c r="V46" s="71" t="s">
        <v>1243</v>
      </c>
      <c r="W46" s="72" t="s">
        <v>1244</v>
      </c>
      <c r="X46" s="73" t="s">
        <v>710</v>
      </c>
      <c r="Y46" s="55" t="str">
        <f>DEC2HEX(F29)</f>
        <v>3472</v>
      </c>
    </row>
    <row r="47" spans="3:25" s="1" customFormat="1" ht="81" hidden="1">
      <c r="C47" s="25" t="s">
        <v>803</v>
      </c>
      <c r="D47" s="26" t="s">
        <v>221</v>
      </c>
      <c r="E47" s="31">
        <v>1500</v>
      </c>
      <c r="F47" s="30">
        <f t="shared" ref="F47:F51" si="0">B8</f>
        <v>1500</v>
      </c>
      <c r="G47" s="28" t="s">
        <v>454</v>
      </c>
      <c r="I47" s="25" t="s">
        <v>819</v>
      </c>
      <c r="J47" s="26" t="s">
        <v>820</v>
      </c>
      <c r="K47" s="51" t="s">
        <v>1245</v>
      </c>
      <c r="L47" s="41" t="str">
        <f>IF((F34=1)*(F28="TriggerWidth"),ROUNDUP(MAX(F29,F32)+R30/R24,0),"null")</f>
        <v>null</v>
      </c>
      <c r="M47" s="27" t="s">
        <v>478</v>
      </c>
      <c r="O47" s="21" t="s">
        <v>345</v>
      </c>
      <c r="P47" s="22" t="s">
        <v>344</v>
      </c>
      <c r="Q47" s="22" t="s">
        <v>525</v>
      </c>
      <c r="R47" s="45">
        <f>64-R39-R43-R45</f>
        <v>10</v>
      </c>
      <c r="S47" s="42" t="s">
        <v>454</v>
      </c>
    </row>
    <row r="48" spans="3:25" s="1" customFormat="1" ht="54" hidden="1">
      <c r="C48" s="25" t="str">
        <f>"流通道包间隔(不包括12B最小值的部分) 
范围:0-"&amp;L42</f>
        <v>流通道包间隔(不包括12B最小值的部分) 
范围:0-180000</v>
      </c>
      <c r="D48" s="26" t="s">
        <v>223</v>
      </c>
      <c r="E48" s="31">
        <v>0</v>
      </c>
      <c r="F48" s="30">
        <f t="shared" si="0"/>
        <v>0</v>
      </c>
      <c r="G48" s="28" t="s">
        <v>454</v>
      </c>
      <c r="I48" s="52" t="s">
        <v>1246</v>
      </c>
      <c r="J48" s="53" t="s">
        <v>1247</v>
      </c>
      <c r="K48" s="53" t="s">
        <v>1248</v>
      </c>
      <c r="L48" s="54" t="str">
        <f>IF((F34=1)*(F28="TriggerWidth"),MAX(F29,F32),"null")</f>
        <v>null</v>
      </c>
      <c r="M48" s="55" t="s">
        <v>478</v>
      </c>
      <c r="O48" s="690" t="s">
        <v>868</v>
      </c>
      <c r="P48" s="691"/>
      <c r="Q48" s="691"/>
      <c r="R48" s="691"/>
      <c r="S48" s="692"/>
    </row>
    <row r="49" spans="3:19" s="1" customFormat="1" ht="27" hidden="1">
      <c r="C49" s="25" t="str">
        <f>"预留带宽 
范围:0-"&amp;L44</f>
        <v>预留带宽 
范围:0-99</v>
      </c>
      <c r="D49" s="26" t="s">
        <v>233</v>
      </c>
      <c r="E49" s="31">
        <v>10</v>
      </c>
      <c r="F49" s="30">
        <f>B14</f>
        <v>10</v>
      </c>
      <c r="G49" s="28" t="s">
        <v>614</v>
      </c>
      <c r="O49" s="18" t="s">
        <v>444</v>
      </c>
      <c r="P49" s="19" t="s">
        <v>438</v>
      </c>
      <c r="Q49" s="19" t="s">
        <v>447</v>
      </c>
      <c r="R49" s="19" t="s">
        <v>688</v>
      </c>
      <c r="S49" s="56" t="s">
        <v>449</v>
      </c>
    </row>
    <row r="50" spans="3:19" s="1" customFormat="1" ht="27" hidden="1">
      <c r="C50" s="690" t="s">
        <v>552</v>
      </c>
      <c r="D50" s="691"/>
      <c r="E50" s="691"/>
      <c r="F50" s="691"/>
      <c r="G50" s="692"/>
      <c r="O50" s="21" t="s">
        <v>393</v>
      </c>
      <c r="P50" s="26" t="s">
        <v>1249</v>
      </c>
      <c r="Q50" s="22" t="s">
        <v>543</v>
      </c>
      <c r="R50" s="45">
        <f>36</f>
        <v>36</v>
      </c>
      <c r="S50" s="42" t="s">
        <v>454</v>
      </c>
    </row>
    <row r="51" spans="3:19" s="1" customFormat="1" ht="40.5" hidden="1">
      <c r="C51" s="21" t="s">
        <v>824</v>
      </c>
      <c r="D51" s="22" t="s">
        <v>558</v>
      </c>
      <c r="E51" s="22">
        <v>0</v>
      </c>
      <c r="F51" s="23">
        <f t="shared" si="0"/>
        <v>0</v>
      </c>
      <c r="G51" s="24" t="s">
        <v>594</v>
      </c>
      <c r="O51" s="21" t="s">
        <v>394</v>
      </c>
      <c r="P51" s="26" t="s">
        <v>877</v>
      </c>
      <c r="Q51" s="22" t="s">
        <v>548</v>
      </c>
      <c r="R51" s="45">
        <v>10</v>
      </c>
      <c r="S51" s="42" t="s">
        <v>454</v>
      </c>
    </row>
    <row r="52" spans="3:19" s="1" customFormat="1" ht="45" hidden="1" customHeight="1">
      <c r="C52" s="32" t="s">
        <v>552</v>
      </c>
      <c r="D52" s="33" t="s">
        <v>565</v>
      </c>
      <c r="E52" s="33">
        <f>VLOOKUP($E$21,$U$23:$AT$28,25,FALSE)</f>
        <v>43.55</v>
      </c>
      <c r="F52" s="34">
        <f>B11</f>
        <v>43.5</v>
      </c>
      <c r="G52" s="35" t="s">
        <v>488</v>
      </c>
      <c r="O52" s="25" t="s">
        <v>395</v>
      </c>
      <c r="P52" s="26" t="s">
        <v>882</v>
      </c>
      <c r="Q52" s="26" t="s">
        <v>1250</v>
      </c>
      <c r="R52" s="41">
        <v>48</v>
      </c>
      <c r="S52" s="27" t="s">
        <v>454</v>
      </c>
    </row>
    <row r="53" spans="3:19" s="1" customFormat="1" ht="27" hidden="1">
      <c r="C53" s="690" t="s">
        <v>1192</v>
      </c>
      <c r="D53" s="691"/>
      <c r="E53" s="691"/>
      <c r="F53" s="691"/>
      <c r="G53" s="692"/>
      <c r="O53" s="25" t="s">
        <v>337</v>
      </c>
      <c r="P53" s="26" t="s">
        <v>884</v>
      </c>
      <c r="Q53" s="26" t="s">
        <v>885</v>
      </c>
      <c r="R53" s="47">
        <f>F41*F42*IF(F26=8,1,2)</f>
        <v>2457600</v>
      </c>
      <c r="S53" s="42" t="s">
        <v>454</v>
      </c>
    </row>
    <row r="54" spans="3:19" s="1" customFormat="1" ht="27" hidden="1">
      <c r="C54" s="21" t="s">
        <v>852</v>
      </c>
      <c r="D54" s="22" t="s">
        <v>853</v>
      </c>
      <c r="E54" s="22">
        <v>1</v>
      </c>
      <c r="F54" s="23">
        <v>1</v>
      </c>
      <c r="G54" s="24" t="s">
        <v>594</v>
      </c>
      <c r="O54" s="21" t="s">
        <v>339</v>
      </c>
      <c r="P54" s="26" t="s">
        <v>886</v>
      </c>
      <c r="Q54" s="26" t="s">
        <v>1251</v>
      </c>
      <c r="R54" s="74">
        <f>R53+R52*F44</f>
        <v>2457600</v>
      </c>
      <c r="S54" s="42" t="s">
        <v>454</v>
      </c>
    </row>
    <row r="55" spans="3:19" s="1" customFormat="1" ht="27" hidden="1">
      <c r="C55" s="32" t="s">
        <v>858</v>
      </c>
      <c r="D55" s="33" t="s">
        <v>859</v>
      </c>
      <c r="E55" s="33">
        <v>1</v>
      </c>
      <c r="F55" s="34">
        <v>1</v>
      </c>
      <c r="G55" s="35" t="s">
        <v>594</v>
      </c>
      <c r="O55" s="21" t="s">
        <v>347</v>
      </c>
      <c r="P55" s="26" t="s">
        <v>346</v>
      </c>
      <c r="Q55" s="22" t="s">
        <v>570</v>
      </c>
      <c r="R55" s="75">
        <f>INT(R54/(F47-R45))</f>
        <v>1678</v>
      </c>
      <c r="S55" s="42"/>
    </row>
    <row r="56" spans="3:19" s="1" customFormat="1" ht="13.5" hidden="1" customHeight="1">
      <c r="C56" s="691" t="s">
        <v>1252</v>
      </c>
      <c r="D56" s="691"/>
      <c r="E56" s="691"/>
      <c r="F56" s="691"/>
      <c r="G56" s="691"/>
      <c r="O56" s="21" t="s">
        <v>349</v>
      </c>
      <c r="P56" s="26" t="s">
        <v>888</v>
      </c>
      <c r="Q56" s="22" t="s">
        <v>577</v>
      </c>
      <c r="R56" s="75">
        <f>R54-(F47-R45)*R55</f>
        <v>1008</v>
      </c>
      <c r="S56" s="42" t="s">
        <v>454</v>
      </c>
    </row>
    <row r="57" spans="3:19" s="1" customFormat="1" ht="27" hidden="1">
      <c r="C57" s="21" t="s">
        <v>1253</v>
      </c>
      <c r="D57" s="22" t="s">
        <v>1254</v>
      </c>
      <c r="E57" s="22">
        <v>1</v>
      </c>
      <c r="F57" s="23">
        <v>1</v>
      </c>
      <c r="G57" s="24" t="s">
        <v>594</v>
      </c>
      <c r="O57" s="21" t="s">
        <v>348</v>
      </c>
      <c r="P57" s="26" t="s">
        <v>245</v>
      </c>
      <c r="Q57" s="22" t="s">
        <v>1199</v>
      </c>
      <c r="R57" s="45">
        <f>IF(MOD(R53,(F47-R45))=0,0,1)</f>
        <v>1</v>
      </c>
      <c r="S57" s="42"/>
    </row>
    <row r="58" spans="3:19" s="1" customFormat="1" ht="40.5" hidden="1">
      <c r="C58" s="32" t="s">
        <v>1255</v>
      </c>
      <c r="D58" s="33" t="s">
        <v>1256</v>
      </c>
      <c r="E58" s="33">
        <v>1</v>
      </c>
      <c r="F58" s="34">
        <v>1</v>
      </c>
      <c r="G58" s="35" t="s">
        <v>594</v>
      </c>
      <c r="K58" s="17"/>
      <c r="O58" s="21" t="s">
        <v>351</v>
      </c>
      <c r="P58" s="26" t="s">
        <v>889</v>
      </c>
      <c r="Q58" s="22" t="s">
        <v>584</v>
      </c>
      <c r="R58" s="75">
        <f>IF(R56&lt;R47,R47,R56)</f>
        <v>1008</v>
      </c>
      <c r="S58" s="42" t="s">
        <v>454</v>
      </c>
    </row>
    <row r="59" spans="3:19" s="1" customFormat="1" ht="40.5" hidden="1">
      <c r="C59" s="693" t="s">
        <v>272</v>
      </c>
      <c r="D59" s="694"/>
      <c r="E59" s="694"/>
      <c r="F59" s="694"/>
      <c r="G59" s="695"/>
      <c r="O59" s="21" t="s">
        <v>353</v>
      </c>
      <c r="P59" s="26" t="s">
        <v>890</v>
      </c>
      <c r="Q59" s="22" t="s">
        <v>586</v>
      </c>
      <c r="R59" s="75">
        <f>R46+R45+R50</f>
        <v>98</v>
      </c>
      <c r="S59" s="42" t="s">
        <v>454</v>
      </c>
    </row>
    <row r="60" spans="3:19" s="1" customFormat="1" ht="54" hidden="1">
      <c r="C60" s="36" t="s">
        <v>252</v>
      </c>
      <c r="D60" s="686" t="s">
        <v>407</v>
      </c>
      <c r="E60" s="686"/>
      <c r="F60" s="687">
        <f>L26</f>
        <v>43.554006968641112</v>
      </c>
      <c r="G60" s="688"/>
      <c r="O60" s="21" t="s">
        <v>355</v>
      </c>
      <c r="P60" s="26" t="s">
        <v>891</v>
      </c>
      <c r="Q60" s="22" t="s">
        <v>892</v>
      </c>
      <c r="R60" s="75">
        <f>R46+R45+R51</f>
        <v>72</v>
      </c>
      <c r="S60" s="42" t="s">
        <v>454</v>
      </c>
    </row>
    <row r="61" spans="3:19" s="1" customFormat="1" ht="54" hidden="1">
      <c r="O61" s="21" t="s">
        <v>357</v>
      </c>
      <c r="P61" s="26" t="s">
        <v>246</v>
      </c>
      <c r="Q61" s="22" t="s">
        <v>893</v>
      </c>
      <c r="R61" s="75">
        <f>R55*(F47+R46)+R57*(R58+R46+R45)</f>
        <v>2561698</v>
      </c>
      <c r="S61" s="42" t="s">
        <v>454</v>
      </c>
    </row>
    <row r="62" spans="3:19" s="1" customFormat="1" ht="81" hidden="1">
      <c r="O62" s="25" t="s">
        <v>358</v>
      </c>
      <c r="P62" s="26" t="s">
        <v>894</v>
      </c>
      <c r="Q62" s="26" t="s">
        <v>895</v>
      </c>
      <c r="R62" s="76">
        <f>(2+R57+R55)*(R44+F48)</f>
        <v>20172</v>
      </c>
      <c r="S62" s="27" t="s">
        <v>454</v>
      </c>
    </row>
    <row r="63" spans="3:19" s="1" customFormat="1" ht="40.5">
      <c r="O63" s="25" t="s">
        <v>359</v>
      </c>
      <c r="P63" s="26" t="s">
        <v>896</v>
      </c>
      <c r="Q63" s="26" t="s">
        <v>607</v>
      </c>
      <c r="R63" s="47">
        <f>R59+R60+R61+R62</f>
        <v>2582040</v>
      </c>
      <c r="S63" s="27" t="s">
        <v>454</v>
      </c>
    </row>
    <row r="64" spans="3:19" s="1" customFormat="1" ht="27">
      <c r="O64" s="25" t="s">
        <v>361</v>
      </c>
      <c r="P64" s="26" t="s">
        <v>360</v>
      </c>
      <c r="Q64" s="26" t="s">
        <v>897</v>
      </c>
      <c r="R64" s="41">
        <f>INT(1000000*F46*(100-F49)/80)</f>
        <v>1125000000</v>
      </c>
      <c r="S64" s="27" t="s">
        <v>898</v>
      </c>
    </row>
    <row r="65" spans="15:19" s="1" customFormat="1" ht="27">
      <c r="O65" s="92" t="s">
        <v>363</v>
      </c>
      <c r="P65" s="93" t="s">
        <v>362</v>
      </c>
      <c r="Q65" s="93" t="s">
        <v>1200</v>
      </c>
      <c r="R65" s="96">
        <f>ROUNDUP(R63*1000000/R64,0)*10</f>
        <v>22960</v>
      </c>
      <c r="S65" s="97" t="s">
        <v>478</v>
      </c>
    </row>
    <row r="66" spans="15:19" s="1" customFormat="1" ht="67.5">
      <c r="O66" s="29" t="s">
        <v>901</v>
      </c>
      <c r="P66" s="26" t="s">
        <v>902</v>
      </c>
      <c r="Q66" s="26" t="s">
        <v>1257</v>
      </c>
      <c r="R66" s="41">
        <f>INT(1000000*F46*(100)/80)</f>
        <v>1250000000</v>
      </c>
      <c r="S66" s="27" t="s">
        <v>898</v>
      </c>
    </row>
    <row r="67" spans="15:19" s="1" customFormat="1" ht="67.5">
      <c r="O67" s="94" t="s">
        <v>904</v>
      </c>
      <c r="P67" s="95" t="s">
        <v>905</v>
      </c>
      <c r="Q67" s="95" t="s">
        <v>1258</v>
      </c>
      <c r="R67" s="98">
        <f>ROUNDUP(R63*1000000/R66,0)*10</f>
        <v>20660</v>
      </c>
      <c r="S67" s="99" t="s">
        <v>478</v>
      </c>
    </row>
    <row r="68" spans="15:19" s="1" customFormat="1"/>
    <row r="69" spans="15:19" s="1" customFormat="1"/>
    <row r="70" spans="15:19" s="1" customFormat="1"/>
    <row r="71" spans="15:19" s="1" customFormat="1"/>
    <row r="72" spans="15:19" s="1" customFormat="1"/>
    <row r="73" spans="15:19" s="1" customFormat="1"/>
    <row r="74" spans="15:19" s="1" customFormat="1"/>
    <row r="75" spans="15:19" s="1" customFormat="1"/>
    <row r="76" spans="15:19" s="1" customFormat="1"/>
    <row r="77" spans="15:19" s="1" customFormat="1"/>
    <row r="78" spans="15:19" s="1" customFormat="1"/>
    <row r="79" spans="15:19" s="1" customFormat="1"/>
    <row r="80" spans="15:19" s="1" customFormat="1"/>
    <row r="81" spans="8:11" s="1" customFormat="1"/>
    <row r="82" spans="8:11" s="1" customFormat="1"/>
    <row r="83" spans="8:11" s="1" customFormat="1"/>
    <row r="84" spans="8:11" s="1" customFormat="1"/>
    <row r="85" spans="8:11" s="1" customFormat="1"/>
    <row r="86" spans="8:11" s="1" customFormat="1"/>
    <row r="87" spans="8:11" s="1" customFormat="1"/>
    <row r="88" spans="8:11" s="1" customFormat="1"/>
    <row r="89" spans="8:11" s="1" customFormat="1">
      <c r="I89" s="90"/>
      <c r="J89" s="689"/>
      <c r="K89" s="689"/>
    </row>
    <row r="90" spans="8:11" s="1" customFormat="1">
      <c r="I90" s="90"/>
      <c r="J90" s="90"/>
      <c r="K90" s="90"/>
    </row>
    <row r="91" spans="8:11" s="1" customFormat="1">
      <c r="I91" s="90"/>
      <c r="J91" s="90"/>
      <c r="K91" s="90"/>
    </row>
    <row r="92" spans="8:11" s="1" customFormat="1">
      <c r="I92" s="90"/>
      <c r="J92" s="90"/>
      <c r="K92" s="90"/>
    </row>
    <row r="93" spans="8:11" s="1" customFormat="1">
      <c r="I93" s="90"/>
      <c r="J93" s="90"/>
      <c r="K93" s="90"/>
    </row>
    <row r="94" spans="8:11" s="1" customFormat="1">
      <c r="I94" s="90"/>
      <c r="J94" s="689"/>
      <c r="K94" s="689"/>
    </row>
    <row r="95" spans="8:11" s="1" customFormat="1">
      <c r="H95" s="89"/>
      <c r="I95" s="90"/>
      <c r="J95" s="90"/>
      <c r="K95" s="90"/>
    </row>
    <row r="96" spans="8:11" s="1" customFormat="1">
      <c r="H96" s="90"/>
      <c r="I96" s="90"/>
      <c r="J96" s="90"/>
      <c r="K96" s="90"/>
    </row>
    <row r="97" spans="3:11" s="1" customFormat="1">
      <c r="H97" s="90"/>
      <c r="I97" s="90"/>
      <c r="J97" s="90"/>
      <c r="K97" s="90"/>
    </row>
    <row r="98" spans="3:11" s="1" customFormat="1">
      <c r="H98" s="90"/>
      <c r="I98" s="90"/>
      <c r="J98" s="90"/>
      <c r="K98" s="90"/>
    </row>
    <row r="99" spans="3:11" s="1" customFormat="1">
      <c r="H99" s="90"/>
      <c r="I99" s="90"/>
      <c r="J99" s="689"/>
      <c r="K99" s="689"/>
    </row>
    <row r="100" spans="3:11" s="1" customFormat="1">
      <c r="C100" s="90"/>
      <c r="D100" s="90"/>
      <c r="E100" s="90"/>
      <c r="F100" s="90"/>
      <c r="H100" s="90"/>
      <c r="I100" s="90"/>
      <c r="J100" s="90"/>
      <c r="K100" s="90"/>
    </row>
    <row r="101" spans="3:11" s="1" customFormat="1">
      <c r="C101" s="90"/>
      <c r="D101" s="90"/>
      <c r="E101" s="90"/>
      <c r="F101" s="90"/>
      <c r="H101" s="90"/>
      <c r="I101" s="90"/>
      <c r="J101" s="90"/>
      <c r="K101" s="90"/>
    </row>
    <row r="102" spans="3:11" s="1" customFormat="1">
      <c r="C102" s="90"/>
      <c r="D102" s="90"/>
      <c r="E102" s="90"/>
      <c r="F102" s="90"/>
      <c r="H102" s="90"/>
      <c r="I102" s="90"/>
      <c r="J102" s="90"/>
      <c r="K102" s="90"/>
    </row>
    <row r="103" spans="3:11" s="1" customFormat="1">
      <c r="C103" s="90"/>
      <c r="D103" s="90"/>
      <c r="E103" s="90"/>
      <c r="F103" s="90"/>
      <c r="G103" s="89"/>
      <c r="H103" s="90"/>
      <c r="I103" s="90"/>
      <c r="J103" s="90"/>
      <c r="K103" s="90"/>
    </row>
    <row r="104" spans="3:11" s="1" customFormat="1">
      <c r="C104" s="90"/>
      <c r="D104" s="90"/>
      <c r="E104" s="90"/>
      <c r="F104" s="90"/>
      <c r="G104" s="90"/>
      <c r="H104" s="90"/>
      <c r="I104" s="90"/>
      <c r="J104" s="90"/>
      <c r="K104" s="90"/>
    </row>
    <row r="105" spans="3:11" s="1" customFormat="1">
      <c r="C105" s="90"/>
      <c r="D105" s="90"/>
      <c r="E105" s="90"/>
      <c r="F105" s="90"/>
      <c r="G105" s="90"/>
      <c r="H105" s="90"/>
      <c r="I105" s="90"/>
      <c r="J105" s="90"/>
      <c r="K105" s="90"/>
    </row>
    <row r="106" spans="3:11" s="1" customFormat="1">
      <c r="C106" s="90"/>
      <c r="D106" s="90"/>
      <c r="E106" s="90"/>
      <c r="F106" s="90"/>
      <c r="G106" s="90"/>
      <c r="H106" s="90"/>
      <c r="I106" s="90"/>
      <c r="J106" s="90"/>
      <c r="K106" s="90"/>
    </row>
    <row r="107" spans="3:11" s="1" customFormat="1">
      <c r="C107" s="89"/>
      <c r="D107" s="89"/>
      <c r="E107" s="90"/>
      <c r="F107" s="90"/>
      <c r="G107" s="90"/>
      <c r="H107" s="90"/>
      <c r="I107" s="90"/>
      <c r="J107" s="90"/>
      <c r="K107" s="90"/>
    </row>
    <row r="108" spans="3:11" s="1" customFormat="1">
      <c r="C108" s="90"/>
      <c r="D108" s="89"/>
      <c r="E108" s="90"/>
      <c r="F108" s="90"/>
      <c r="G108" s="90"/>
      <c r="H108" s="90"/>
      <c r="I108" s="90"/>
      <c r="J108" s="90"/>
      <c r="K108" s="90"/>
    </row>
    <row r="109" spans="3:11" s="1" customFormat="1">
      <c r="C109" s="90"/>
      <c r="D109" s="89"/>
      <c r="E109" s="90"/>
      <c r="F109" s="90"/>
      <c r="G109" s="90"/>
      <c r="H109" s="90"/>
      <c r="I109" s="90"/>
      <c r="J109" s="90"/>
      <c r="K109" s="90"/>
    </row>
    <row r="110" spans="3:11" s="1" customFormat="1">
      <c r="C110" s="90"/>
      <c r="D110" s="90"/>
      <c r="E110" s="90"/>
      <c r="F110" s="90"/>
      <c r="G110" s="90"/>
      <c r="H110" s="90"/>
      <c r="I110" s="90"/>
      <c r="J110" s="90"/>
      <c r="K110" s="90"/>
    </row>
    <row r="111" spans="3:11" s="1" customFormat="1">
      <c r="C111" s="90"/>
      <c r="D111" s="90"/>
      <c r="E111" s="90"/>
      <c r="F111" s="90"/>
      <c r="G111" s="90"/>
      <c r="H111" s="90"/>
      <c r="I111" s="90"/>
      <c r="J111" s="90"/>
      <c r="K111" s="90"/>
    </row>
    <row r="112" spans="3:11" s="1" customFormat="1">
      <c r="C112" s="90"/>
      <c r="D112" s="90"/>
      <c r="E112" s="90"/>
      <c r="F112" s="90"/>
      <c r="G112" s="90"/>
      <c r="H112" s="90"/>
      <c r="I112" s="90"/>
      <c r="J112" s="90"/>
      <c r="K112" s="90"/>
    </row>
    <row r="113" spans="3:11" s="1" customFormat="1">
      <c r="C113" s="90"/>
      <c r="D113" s="90"/>
      <c r="E113" s="90"/>
      <c r="F113" s="90"/>
      <c r="G113" s="90"/>
      <c r="H113" s="90"/>
      <c r="I113" s="90"/>
      <c r="J113" s="90"/>
      <c r="K113" s="90"/>
    </row>
    <row r="114" spans="3:11" s="1" customFormat="1">
      <c r="C114" s="90"/>
      <c r="D114" s="90"/>
      <c r="E114" s="90"/>
      <c r="F114" s="90"/>
      <c r="G114" s="90"/>
      <c r="H114" s="90"/>
      <c r="I114" s="91"/>
      <c r="J114" s="91"/>
      <c r="K114" s="91"/>
    </row>
    <row r="115" spans="3:11" s="1" customFormat="1">
      <c r="C115" s="90"/>
      <c r="D115" s="90"/>
      <c r="E115" s="90"/>
      <c r="F115" s="90"/>
      <c r="G115" s="90"/>
      <c r="H115" s="90"/>
    </row>
    <row r="116" spans="3:11" s="1" customFormat="1">
      <c r="C116" s="90"/>
      <c r="D116" s="90"/>
      <c r="E116" s="90"/>
      <c r="F116" s="90"/>
      <c r="G116" s="90"/>
      <c r="H116" s="90"/>
    </row>
    <row r="117" spans="3:11" s="1" customFormat="1">
      <c r="C117" s="90"/>
      <c r="D117" s="90"/>
      <c r="E117" s="90"/>
      <c r="F117" s="90"/>
      <c r="G117" s="90"/>
      <c r="H117" s="90"/>
    </row>
    <row r="118" spans="3:11" s="1" customFormat="1">
      <c r="C118" s="90"/>
      <c r="D118" s="90"/>
      <c r="E118" s="90"/>
      <c r="F118" s="90"/>
      <c r="G118" s="90"/>
      <c r="H118" s="90"/>
    </row>
    <row r="119" spans="3:11" s="1" customFormat="1">
      <c r="C119" s="90"/>
      <c r="D119" s="90"/>
      <c r="E119" s="90"/>
      <c r="F119" s="90"/>
      <c r="G119" s="90"/>
      <c r="H119" s="90"/>
    </row>
    <row r="120" spans="3:11" s="1" customFormat="1">
      <c r="C120" s="90"/>
      <c r="D120" s="90"/>
      <c r="E120" s="90"/>
      <c r="F120" s="90"/>
      <c r="G120" s="90"/>
      <c r="H120" s="91"/>
    </row>
    <row r="121" spans="3:11" s="1" customFormat="1">
      <c r="C121" s="90"/>
      <c r="D121" s="90"/>
      <c r="E121" s="90"/>
      <c r="F121" s="90"/>
      <c r="G121" s="90"/>
    </row>
    <row r="122" spans="3:11" s="1" customFormat="1">
      <c r="C122" s="90"/>
      <c r="D122" s="90"/>
      <c r="E122" s="90"/>
      <c r="F122" s="90"/>
      <c r="G122" s="90"/>
    </row>
    <row r="123" spans="3:11" s="1" customFormat="1">
      <c r="C123" s="90"/>
      <c r="D123" s="90"/>
      <c r="E123" s="90"/>
      <c r="F123" s="90"/>
      <c r="G123" s="90"/>
    </row>
    <row r="124" spans="3:11" s="1" customFormat="1">
      <c r="C124" s="90"/>
      <c r="D124" s="90"/>
      <c r="E124" s="90"/>
      <c r="F124" s="90"/>
      <c r="G124" s="90"/>
    </row>
    <row r="125" spans="3:11" s="1" customFormat="1">
      <c r="C125" s="91"/>
      <c r="D125" s="91"/>
      <c r="E125" s="91"/>
      <c r="F125" s="91"/>
      <c r="G125" s="90"/>
    </row>
    <row r="126" spans="3:11" s="1" customFormat="1">
      <c r="G126" s="90"/>
    </row>
    <row r="127" spans="3:11" s="1" customFormat="1">
      <c r="G127" s="90"/>
    </row>
    <row r="128" spans="3:11" s="1" customFormat="1">
      <c r="G128" s="91"/>
    </row>
  </sheetData>
  <sheetProtection password="DE11" sheet="1" objects="1" selectLockedCells="1"/>
  <mergeCells count="31">
    <mergeCell ref="I21:M21"/>
    <mergeCell ref="O21:S21"/>
    <mergeCell ref="U21:AT21"/>
    <mergeCell ref="I22:M22"/>
    <mergeCell ref="O22:S22"/>
    <mergeCell ref="C23:G23"/>
    <mergeCell ref="C25:G25"/>
    <mergeCell ref="C27:G27"/>
    <mergeCell ref="I27:M27"/>
    <mergeCell ref="I32:M32"/>
    <mergeCell ref="C33:G33"/>
    <mergeCell ref="U34:Y34"/>
    <mergeCell ref="O35:S35"/>
    <mergeCell ref="C36:G36"/>
    <mergeCell ref="I37:M37"/>
    <mergeCell ref="C38:G38"/>
    <mergeCell ref="I41:M41"/>
    <mergeCell ref="C43:G43"/>
    <mergeCell ref="I43:M43"/>
    <mergeCell ref="C45:G45"/>
    <mergeCell ref="I45:M45"/>
    <mergeCell ref="O48:S48"/>
    <mergeCell ref="C50:G50"/>
    <mergeCell ref="C53:G53"/>
    <mergeCell ref="C56:G56"/>
    <mergeCell ref="C59:G59"/>
    <mergeCell ref="D60:E60"/>
    <mergeCell ref="F60:G60"/>
    <mergeCell ref="J89:K89"/>
    <mergeCell ref="J94:K94"/>
    <mergeCell ref="J99:K99"/>
  </mergeCells>
  <phoneticPr fontId="37" type="noConversion"/>
  <dataValidations count="35">
    <dataValidation allowBlank="1" showInputMessage="1" showErrorMessage="1" errorTitle="超出范围" error="曝光时间的范围是14us-1s" sqref="F30"/>
    <dataValidation allowBlank="1" showErrorMessage="1" promptTitle="参数变化" prompt="该参数会根据当前生效的水平像素Binning、水平像素抽样变化" sqref="B2"/>
    <dataValidation allowBlank="1" showInputMessage="1" showErrorMessage="1" error="输入范围是64~1024，步长为2" sqref="A1:B1"/>
    <dataValidation type="whole" operator="lessThanOrEqual" allowBlank="1" showInputMessage="1" showErrorMessage="1" errorTitle="超出范围" error="ExposureOverlapTimeMax应小于读出时间" sqref="F29">
      <formula1>INT((F42*F58+R28+R33+R34)*L24/1000)</formula1>
    </dataValidation>
    <dataValidation type="whole" allowBlank="1" showInputMessage="1" showErrorMessage="1" errorTitle="超出范围" error="The input range :[5,1000000]" sqref="B6">
      <formula1>5</formula1>
      <formula2>1000000</formula2>
    </dataValidation>
    <dataValidation allowBlank="1" showErrorMessage="1" promptTitle="参数变化" prompt="该参数会根据当前生效的垂直像素Binning、垂直像素抽样变化" sqref="B3"/>
    <dataValidation type="whole" errorStyle="information" operator="lessThanOrEqual" allowBlank="1" showErrorMessage="1" error="设置垂直Binning/Skipping时，需要同步修改垂直ROI" sqref="F55 F58">
      <formula1>1</formula1>
    </dataValidation>
    <dataValidation type="custom" allowBlank="1" showInputMessage="1" showErrorMessage="1" error="The input range :[512,8192], and the step size is 4" sqref="B8">
      <formula1>AND(MOD(B8,4)=0,B8&gt;=512,B8&lt;=16384)</formula1>
    </dataValidation>
    <dataValidation type="custom" allowBlank="1" showInputMessage="1" showErrorMessage="1" errorTitle="输入数值非法" error="Input range:[4, 'WidthMax'],and is an integer multiple of 4" sqref="B4">
      <formula1>AND((B4&lt;=B2),(B4&gt;=4),(MOD(B4,4)=0))</formula1>
    </dataValidation>
    <dataValidation type="custom" allowBlank="1" showInputMessage="1" showErrorMessage="1" errorTitle="输入数值非法" error="Input range:[2, 'HeightMax'],and is an integer multiple of 2" sqref="B5">
      <formula1>AND((B5&lt;=B3),(B5&gt;=2),(MOD(B5,2)=0))</formula1>
    </dataValidation>
    <dataValidation type="list" allowBlank="1" showInputMessage="1" showErrorMessage="1" error="Please enter 8 or 12" sqref="B7">
      <formula1>"8,12"</formula1>
    </dataValidation>
    <dataValidation type="whole" allowBlank="1" showInputMessage="1" showErrorMessage="1" error="Set the value range:[ 0,'GevSCPDMaxValue']" sqref="B9">
      <formula1>0</formula1>
      <formula2>L42</formula2>
    </dataValidation>
    <dataValidation type="whole" errorStyle="information" operator="lessThanOrEqual" allowBlank="1" showErrorMessage="1" error="设置水平Binning/Skipping时，需要同步修改水平ROI" sqref="F54 F57">
      <formula1>1</formula1>
    </dataValidation>
    <dataValidation type="custom" allowBlank="1" showInputMessage="1" showErrorMessage="1" error="Set the value range :[ 0.1,10000.0], accurate to one decimal" sqref="B11">
      <formula1>AND(TRUNC(B11,1)=B11,(B11&gt;=0.1),(B11&lt;=10000))</formula1>
    </dataValidation>
    <dataValidation type="list" allowBlank="1" showInputMessage="1" showErrorMessage="1" errorTitle="超出范围" error="Please enter a 0 or 1" sqref="B12">
      <formula1>"0,1"</formula1>
    </dataValidation>
    <dataValidation type="custom" allowBlank="1" showInputMessage="1" showErrorMessage="1" error="Please enter 1000 or 100" sqref="B13">
      <formula1>OR((B13=1000),(B13=100))</formula1>
    </dataValidation>
    <dataValidation type="whole" allowBlank="1" showInputMessage="1" showErrorMessage="1" error="Set the value range [ 0,'BandwidthReserveMaxValue']" sqref="B14">
      <formula1>0</formula1>
      <formula2>L44</formula2>
    </dataValidation>
    <dataValidation type="list" allowBlank="1" showInputMessage="1" showErrorMessage="1" error="Please enter a 0 or 1" sqref="B16">
      <formula1>"0,1"</formula1>
    </dataValidation>
    <dataValidation type="list" allowBlank="1" showInputMessage="1" showErrorMessage="1" sqref="E21">
      <formula1>$U$23:$U$25</formula1>
    </dataValidation>
    <dataValidation type="list" allowBlank="1" showInputMessage="1" showErrorMessage="1" error="触发信号长度需要大于0" sqref="F34">
      <formula1>"0,1"</formula1>
    </dataValidation>
    <dataValidation type="list" allowBlank="1" showInputMessage="1" showErrorMessage="1" sqref="E22">
      <formula1>#REF!</formula1>
    </dataValidation>
    <dataValidation type="list" allowBlank="1" showInputMessage="1" showErrorMessage="1" prompt="极小曝光模式下不支持trigger_width功能！" sqref="F28">
      <formula1>"Timed,TriggerWidth"</formula1>
    </dataValidation>
    <dataValidation type="whole" allowBlank="1" showInputMessage="1" showErrorMessage="1" errorTitle="超出范围" error="曝光延迟的范围是0-5000us" sqref="F31">
      <formula1>0</formula1>
      <formula2>5000</formula2>
    </dataValidation>
    <dataValidation type="whole" allowBlank="1" showInputMessage="1" showErrorMessage="1" error="触发信号长度需要大于0s，小于1s" sqref="F32">
      <formula1>0</formula1>
      <formula2>1000000</formula2>
    </dataValidation>
    <dataValidation type="whole" operator="greaterThan" allowBlank="1" showInputMessage="1" showErrorMessage="1" error="触发信号长度需要大于0" sqref="F33">
      <formula1>0</formula1>
    </dataValidation>
    <dataValidation type="list" allowBlank="1" showInputMessage="1" showErrorMessage="1" prompt="突发采集模式只能在触发模式下选择" sqref="F35">
      <formula1>"Standard,HighSpeed"</formula1>
    </dataValidation>
    <dataValidation type="whole" allowBlank="1" showInputMessage="1" showErrorMessage="1" errorTitle="超出范围" error="触发延时的范围是0-3000000us" sqref="F37">
      <formula1>0</formula1>
      <formula2>3000000</formula2>
    </dataValidation>
    <dataValidation type="list" allowBlank="1" showInputMessage="1" showErrorMessage="1" sqref="F46">
      <formula1>"1000,100"</formula1>
    </dataValidation>
    <dataValidation allowBlank="1" showInputMessage="1" showErrorMessage="1" errorTitle="输入数值非法" error="最小值4，最大值D12" sqref="F41"/>
    <dataValidation allowBlank="1" showInputMessage="1" showErrorMessage="1" errorTitle="输入数值非法" error="最小值2，最大值D13" sqref="F42"/>
    <dataValidation type="list" allowBlank="1" showInputMessage="1" showErrorMessage="1" sqref="F44">
      <formula1>"0,1"</formula1>
    </dataValidation>
    <dataValidation allowBlank="1" showInputMessage="1" showErrorMessage="1" errorTitle="设置值超出范围" error="包间隔设置值超出范围" sqref="F48"/>
    <dataValidation allowBlank="1" showInputMessage="1" showErrorMessage="1" errorTitle="设置值超出范围" error="预留带宽设置值超出范围" sqref="F49"/>
    <dataValidation type="list" allowBlank="1" showInputMessage="1" showErrorMessage="1" errorTitle="超出范围" error="0:关闭_x000a_1:打开" sqref="F51">
      <formula1>"0,1"</formula1>
    </dataValidation>
    <dataValidation type="decimal" allowBlank="1" showInputMessage="1" showErrorMessage="1" sqref="F52">
      <formula1>0.1</formula1>
      <formula2>10000</formula2>
    </dataValidation>
  </dataValidations>
  <pageMargins left="0.75" right="0.75" top="1" bottom="1" header="0.5" footer="0.5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40AF5E-33CD-4AFE-AE14-093C2094B194}"/>
</file>

<file path=customXml/itemProps2.xml><?xml version="1.0" encoding="utf-8"?>
<ds:datastoreItem xmlns:ds="http://schemas.openxmlformats.org/officeDocument/2006/customXml" ds:itemID="{6D03A264-663B-4BEE-AD52-D235B49006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28</vt:i4>
      </vt:variant>
    </vt:vector>
  </HeadingPairs>
  <TitlesOfParts>
    <vt:vector size="28" baseType="lpstr">
      <vt:lpstr>Revision History</vt:lpstr>
      <vt:lpstr>MER2(ME2C)-041-302GX(-P)</vt:lpstr>
      <vt:lpstr>MER2(ME2C)-051-120GX(-P)</vt:lpstr>
      <vt:lpstr>MER2-134-90GX(-P)</vt:lpstr>
      <vt:lpstr>MER2(ME2C)-137-90GX(-P)</vt:lpstr>
      <vt:lpstr>MER2(ME2C)-160-75GX(-P)</vt:lpstr>
      <vt:lpstr>MER2(ME2C)-202-60GX(-P)</vt:lpstr>
      <vt:lpstr>MER2(ME2C)-231-41GX(-P)</vt:lpstr>
      <vt:lpstr>ME2C-240-48GX(-P)</vt:lpstr>
      <vt:lpstr>MER2(ME2C)-302-37GX(-P)</vt:lpstr>
      <vt:lpstr>MER2(ME2C)-503(501)-23GX(-P)</vt:lpstr>
      <vt:lpstr>MER2(ME2C)-507-23GX(-P)</vt:lpstr>
      <vt:lpstr>MER2(ME2C)-532-22GX</vt:lpstr>
      <vt:lpstr>MER2(ME2C)-630-18GX(-P)</vt:lpstr>
      <vt:lpstr>MER2(ME2C)-1070-10GX(-P)</vt:lpstr>
      <vt:lpstr>MER2(ME2C)-1220-9GX(-P)</vt:lpstr>
      <vt:lpstr>ME2P-1230-9GX-P</vt:lpstr>
      <vt:lpstr>ME2S-1260-9GX-P</vt:lpstr>
      <vt:lpstr>MER2(ME2C)-2000(2001)-6GX(-P)</vt:lpstr>
      <vt:lpstr>ME2P-2621-4GX-P(-G2)</vt:lpstr>
      <vt:lpstr>ME2P-560-21GX-P</vt:lpstr>
      <vt:lpstr>ME2P-900-13GX-P</vt:lpstr>
      <vt:lpstr>ME2P-1840-6GX-P</vt:lpstr>
      <vt:lpstr>ME2P-2000-6GX-P</vt:lpstr>
      <vt:lpstr>ME2P-1220-9GX-P</vt:lpstr>
      <vt:lpstr>ME2P-231-41GX-P</vt:lpstr>
      <vt:lpstr>ME2P-503-23GX-P</vt:lpstr>
      <vt:lpstr>ME2P-630-18GX-P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hanxue</dc:creator>
  <cp:lastModifiedBy>Administrator</cp:lastModifiedBy>
  <dcterms:created xsi:type="dcterms:W3CDTF">2016-03-14T05:10:00Z</dcterms:created>
  <dcterms:modified xsi:type="dcterms:W3CDTF">2024-04-11T02:11:17Z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C733713F96C5466092B262E52BE46803</vt:lpwstr>
  </property>
</Properties>
</file>